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9840" tabRatio="802"/>
  </bookViews>
  <sheets>
    <sheet name="1. Coleta Resíduos Saúde" sheetId="2" r:id="rId1"/>
    <sheet name="2.Resumo" sheetId="19" r:id="rId2"/>
    <sheet name="3.Encargos Sociais" sheetId="8" r:id="rId3"/>
    <sheet name="4.CAGED" sheetId="5" r:id="rId4"/>
    <sheet name="5.BDI" sheetId="4" r:id="rId5"/>
    <sheet name="6. Depreciação" sheetId="6" r:id="rId6"/>
    <sheet name="Litros" sheetId="10" r:id="rId7"/>
    <sheet name="Horários" sheetId="11" r:id="rId8"/>
    <sheet name="Roteiros" sheetId="21" r:id="rId9"/>
  </sheets>
  <definedNames>
    <definedName name="AbaDeprec">'6. Depreciação'!$A$1</definedName>
    <definedName name="AbaRemun" localSheetId="1">#REF!</definedName>
    <definedName name="AbaRemun" localSheetId="7">#REF!</definedName>
    <definedName name="AbaRemun" localSheetId="6">#REF!</definedName>
    <definedName name="AbaRemun">#REF!</definedName>
    <definedName name="_xlnm.Print_Area" localSheetId="0">'1. Coleta Resíduos Saúde'!$A$1:$F$307</definedName>
    <definedName name="_xlnm.Print_Area" localSheetId="2">'3.Encargos Sociais'!$A$1:$C$40</definedName>
    <definedName name="_xlnm.Print_Titles" localSheetId="0">'1. Coleta Resíduos Saúde'!$1:$8</definedName>
  </definedNames>
  <calcPr calcId="145621"/>
</workbook>
</file>

<file path=xl/calcChain.xml><?xml version="1.0" encoding="utf-8"?>
<calcChain xmlns="http://schemas.openxmlformats.org/spreadsheetml/2006/main">
  <c r="E159" i="2" l="1"/>
  <c r="D10" i="21"/>
  <c r="D9" i="21"/>
  <c r="D143" i="2"/>
  <c r="D136" i="2"/>
  <c r="D135" i="2"/>
  <c r="D205" i="2" l="1"/>
  <c r="D210" i="2"/>
  <c r="B229" i="2"/>
  <c r="D8" i="10"/>
  <c r="C270" i="2" s="1"/>
  <c r="D7" i="10"/>
  <c r="C269" i="2" s="1"/>
  <c r="D10" i="10" l="1"/>
  <c r="D12" i="10" s="1"/>
  <c r="E162" i="2"/>
  <c r="E161" i="2"/>
  <c r="D239" i="2" l="1"/>
  <c r="A136" i="2"/>
  <c r="A143" i="2" s="1"/>
  <c r="C130" i="2"/>
  <c r="E123" i="2"/>
  <c r="A12" i="19"/>
  <c r="E137" i="2" l="1"/>
  <c r="D301" i="2" l="1"/>
  <c r="C233" i="2" l="1"/>
  <c r="C239" i="2" s="1"/>
  <c r="E239" i="2" s="1"/>
  <c r="D176" i="2" l="1"/>
  <c r="C175" i="2"/>
  <c r="C174" i="2"/>
  <c r="C173" i="2"/>
  <c r="C172" i="2"/>
  <c r="C171" i="2"/>
  <c r="C170" i="2"/>
  <c r="E270" i="2" l="1"/>
  <c r="F11" i="11"/>
  <c r="F14" i="11" s="1"/>
  <c r="F16" i="11" l="1"/>
  <c r="F18" i="11" s="1"/>
  <c r="B52" i="2" l="1"/>
  <c r="E165" i="2" l="1"/>
  <c r="E101" i="2"/>
  <c r="E201" i="2" s="1"/>
  <c r="E217" i="2" l="1"/>
  <c r="E178" i="2"/>
  <c r="E144" i="2"/>
  <c r="C27" i="5"/>
  <c r="E283" i="2" l="1"/>
  <c r="E225" i="2"/>
  <c r="C222" i="2"/>
  <c r="C221" i="2"/>
  <c r="C223" i="2"/>
  <c r="A36" i="2" l="1"/>
  <c r="A35" i="2"/>
  <c r="A34" i="2"/>
  <c r="A26" i="2"/>
  <c r="A25" i="2"/>
  <c r="A17" i="2"/>
  <c r="C191" i="2" l="1"/>
  <c r="C196" i="2"/>
  <c r="D198" i="2" s="1"/>
  <c r="E45" i="2" l="1"/>
  <c r="E44" i="2"/>
  <c r="E43" i="2"/>
  <c r="C136" i="2" s="1"/>
  <c r="E136" i="2" s="1"/>
  <c r="E42" i="2"/>
  <c r="E49" i="2"/>
  <c r="C135" i="2" l="1"/>
  <c r="C164" i="2"/>
  <c r="C216" i="2"/>
  <c r="C211" i="2"/>
  <c r="D243" i="2"/>
  <c r="D241" i="2"/>
  <c r="D237" i="2"/>
  <c r="D235" i="2"/>
  <c r="D170" i="2" l="1"/>
  <c r="E170" i="2" s="1"/>
  <c r="E154" i="2"/>
  <c r="E155" i="2"/>
  <c r="E156" i="2"/>
  <c r="E157" i="2"/>
  <c r="E158" i="2"/>
  <c r="E160" i="2"/>
  <c r="E163" i="2"/>
  <c r="E153" i="2"/>
  <c r="D60" i="2" l="1"/>
  <c r="E60" i="2" s="1"/>
  <c r="D59" i="2"/>
  <c r="E59" i="2" s="1"/>
  <c r="D92" i="2"/>
  <c r="E92" i="2" s="1"/>
  <c r="C112" i="2"/>
  <c r="D61" i="2" l="1"/>
  <c r="E61" i="2" s="1"/>
  <c r="C115" i="2"/>
  <c r="D93" i="2"/>
  <c r="E93" i="2" s="1"/>
  <c r="D94" i="2" s="1"/>
  <c r="E94" i="2" s="1"/>
  <c r="C79" i="2"/>
  <c r="C76" i="2"/>
  <c r="C258" i="2" l="1"/>
  <c r="D107" i="2"/>
  <c r="A33" i="2"/>
  <c r="A32" i="2"/>
  <c r="A31" i="2"/>
  <c r="A30" i="2"/>
  <c r="A29" i="2"/>
  <c r="A28" i="2"/>
  <c r="A27" i="2"/>
  <c r="A24" i="2"/>
  <c r="A23" i="2"/>
  <c r="A22" i="2"/>
  <c r="A21" i="2"/>
  <c r="A20" i="2"/>
  <c r="A19" i="2"/>
  <c r="A18" i="2"/>
  <c r="C21" i="8"/>
  <c r="E86" i="2"/>
  <c r="E67" i="2"/>
  <c r="C16" i="4"/>
  <c r="C21" i="4" s="1"/>
  <c r="F14" i="4"/>
  <c r="E14" i="4"/>
  <c r="D14" i="4"/>
  <c r="C18" i="8"/>
  <c r="C29" i="5"/>
  <c r="C118" i="2"/>
  <c r="C109" i="2"/>
  <c r="D112" i="2"/>
  <c r="E112" i="2" s="1"/>
  <c r="E90" i="2"/>
  <c r="D130" i="2" s="1"/>
  <c r="C256" i="2"/>
  <c r="E256" i="2" s="1"/>
  <c r="C235" i="2"/>
  <c r="E235" i="2" s="1"/>
  <c r="D233" i="2"/>
  <c r="D244" i="2" s="1"/>
  <c r="E188" i="2"/>
  <c r="C207" i="2" s="1"/>
  <c r="C197" i="2"/>
  <c r="C192" i="2"/>
  <c r="C73" i="2"/>
  <c r="D71" i="2"/>
  <c r="C279" i="2"/>
  <c r="E281" i="2" s="1"/>
  <c r="D282" i="2" s="1"/>
  <c r="E282" i="2" s="1"/>
  <c r="C193" i="2"/>
  <c r="C210" i="2" s="1"/>
  <c r="C129" i="2"/>
  <c r="A42" i="2"/>
  <c r="A43" i="2"/>
  <c r="A44" i="2"/>
  <c r="A45" i="2"/>
  <c r="A49" i="2"/>
  <c r="E58" i="2"/>
  <c r="D129" i="2" s="1"/>
  <c r="C81" i="2"/>
  <c r="A135" i="2"/>
  <c r="A142" i="2" s="1"/>
  <c r="D171" i="2"/>
  <c r="E171" i="2" s="1"/>
  <c r="D172" i="2"/>
  <c r="E172" i="2" s="1"/>
  <c r="D173" i="2"/>
  <c r="E173" i="2" s="1"/>
  <c r="D174" i="2"/>
  <c r="E174" i="2" s="1"/>
  <c r="D175" i="2"/>
  <c r="E175" i="2" s="1"/>
  <c r="E176" i="2"/>
  <c r="E254" i="2"/>
  <c r="E223" i="2"/>
  <c r="E222" i="2"/>
  <c r="E267" i="2"/>
  <c r="E271" i="2"/>
  <c r="E268" i="2"/>
  <c r="E269" i="2"/>
  <c r="D96" i="2" l="1"/>
  <c r="E96" i="2" s="1"/>
  <c r="E97" i="2" s="1"/>
  <c r="C292" i="2"/>
  <c r="C31" i="5"/>
  <c r="C32" i="5" s="1"/>
  <c r="C30" i="5"/>
  <c r="C32" i="8" s="1"/>
  <c r="D191" i="2"/>
  <c r="E191" i="2" s="1"/>
  <c r="D79" i="2"/>
  <c r="E79" i="2" s="1"/>
  <c r="D74" i="2"/>
  <c r="E74" i="2" s="1"/>
  <c r="E106" i="2"/>
  <c r="D110" i="2"/>
  <c r="E110" i="2" s="1"/>
  <c r="D113" i="2"/>
  <c r="E113" i="2" s="1"/>
  <c r="D115" i="2"/>
  <c r="E115" i="2" s="1"/>
  <c r="D109" i="2"/>
  <c r="E109" i="2" s="1"/>
  <c r="D77" i="2"/>
  <c r="E77" i="2" s="1"/>
  <c r="D76" i="2"/>
  <c r="E76" i="2" s="1"/>
  <c r="C241" i="2"/>
  <c r="E241" i="2" s="1"/>
  <c r="D73" i="2"/>
  <c r="E73" i="2" s="1"/>
  <c r="C243" i="2"/>
  <c r="E243" i="2" s="1"/>
  <c r="F272" i="2"/>
  <c r="F274" i="2" s="1"/>
  <c r="E34" i="2" s="1"/>
  <c r="E233" i="2"/>
  <c r="E71" i="2"/>
  <c r="E193" i="2"/>
  <c r="C212" i="2" s="1"/>
  <c r="D164" i="2"/>
  <c r="E135" i="2"/>
  <c r="F138" i="2" s="1"/>
  <c r="E46" i="2"/>
  <c r="C142" i="2"/>
  <c r="E142" i="2" s="1"/>
  <c r="E129" i="2"/>
  <c r="E210" i="2"/>
  <c r="E143" i="2"/>
  <c r="D62" i="2"/>
  <c r="E62" i="2" s="1"/>
  <c r="E63" i="2" s="1"/>
  <c r="D64" i="2" s="1"/>
  <c r="C237" i="2"/>
  <c r="E237" i="2" s="1"/>
  <c r="C249" i="2"/>
  <c r="E249" i="2" s="1"/>
  <c r="F250" i="2" s="1"/>
  <c r="E32" i="2" s="1"/>
  <c r="E279" i="2"/>
  <c r="D280" i="2" s="1"/>
  <c r="E280" i="2" s="1"/>
  <c r="F283" i="2" s="1"/>
  <c r="E205" i="2"/>
  <c r="D257" i="2"/>
  <c r="E257" i="2" s="1"/>
  <c r="D258" i="2" s="1"/>
  <c r="E258" i="2" s="1"/>
  <c r="F259" i="2" s="1"/>
  <c r="E33" i="2" s="1"/>
  <c r="E130" i="2"/>
  <c r="D177" i="2"/>
  <c r="F285" i="2" l="1"/>
  <c r="E35" i="2" s="1"/>
  <c r="C31" i="8"/>
  <c r="C37" i="5"/>
  <c r="C28" i="8" s="1"/>
  <c r="C36" i="8" s="1"/>
  <c r="D192" i="2"/>
  <c r="E192" i="2" s="1"/>
  <c r="C29" i="8"/>
  <c r="C20" i="8"/>
  <c r="C26" i="8" s="1"/>
  <c r="C35" i="8" s="1"/>
  <c r="D80" i="2"/>
  <c r="E80" i="2" s="1"/>
  <c r="D81" i="2" s="1"/>
  <c r="E81" i="2" s="1"/>
  <c r="D116" i="2"/>
  <c r="E116" i="2" s="1"/>
  <c r="D118" i="2" s="1"/>
  <c r="E118" i="2" s="1"/>
  <c r="E23" i="2"/>
  <c r="F144" i="2"/>
  <c r="E24" i="2" s="1"/>
  <c r="E177" i="2"/>
  <c r="F178" i="2" s="1"/>
  <c r="E164" i="2"/>
  <c r="F165" i="2" s="1"/>
  <c r="F180" i="2" s="1"/>
  <c r="D196" i="2"/>
  <c r="E196" i="2" s="1"/>
  <c r="D197" i="2" s="1"/>
  <c r="E197" i="2" s="1"/>
  <c r="F131" i="2"/>
  <c r="E22" i="2" s="1"/>
  <c r="F245" i="2"/>
  <c r="E31" i="2" s="1"/>
  <c r="D98" i="2"/>
  <c r="E198" i="2" l="1"/>
  <c r="E199" i="2" s="1"/>
  <c r="D200" i="2" s="1"/>
  <c r="E200" i="2" s="1"/>
  <c r="F201" i="2" s="1"/>
  <c r="E28" i="2" s="1"/>
  <c r="C208" i="2"/>
  <c r="D209" i="2" s="1"/>
  <c r="E209" i="2" s="1"/>
  <c r="D221" i="2"/>
  <c r="E221" i="2" s="1"/>
  <c r="D224" i="2" s="1"/>
  <c r="E224" i="2" s="1"/>
  <c r="F225" i="2" s="1"/>
  <c r="E30" i="2" s="1"/>
  <c r="C30" i="8"/>
  <c r="C33" i="8" s="1"/>
  <c r="C37" i="8"/>
  <c r="C213" i="2"/>
  <c r="D214" i="2" s="1"/>
  <c r="E214" i="2" s="1"/>
  <c r="E25" i="2"/>
  <c r="E119" i="2"/>
  <c r="D120" i="2" s="1"/>
  <c r="E82" i="2"/>
  <c r="E215" i="2" l="1"/>
  <c r="D216" i="2" s="1"/>
  <c r="E216" i="2" s="1"/>
  <c r="F217" i="2" s="1"/>
  <c r="F262" i="2" s="1"/>
  <c r="E26" i="2" s="1"/>
  <c r="C38" i="8"/>
  <c r="D83" i="2"/>
  <c r="E29" i="2" l="1"/>
  <c r="E27" i="2" s="1"/>
  <c r="C98" i="2"/>
  <c r="C83" i="2"/>
  <c r="E83" i="2" s="1"/>
  <c r="E84" i="2" s="1"/>
  <c r="D85" i="2" s="1"/>
  <c r="E85" i="2" s="1"/>
  <c r="F86" i="2" s="1"/>
  <c r="E19" i="2" s="1"/>
  <c r="C64" i="2"/>
  <c r="E64" i="2" s="1"/>
  <c r="E65" i="2" s="1"/>
  <c r="D66" i="2" s="1"/>
  <c r="E66" i="2" s="1"/>
  <c r="F67" i="2" s="1"/>
  <c r="E18" i="2" s="1"/>
  <c r="C120" i="2"/>
  <c r="E120" i="2" s="1"/>
  <c r="E121" i="2" s="1"/>
  <c r="D122" i="2" s="1"/>
  <c r="E122" i="2" s="1"/>
  <c r="F123" i="2" s="1"/>
  <c r="E21" i="2" s="1"/>
  <c r="E98" i="2"/>
  <c r="E99" i="2" s="1"/>
  <c r="D100" i="2" s="1"/>
  <c r="E100" i="2" s="1"/>
  <c r="F101" i="2" s="1"/>
  <c r="E20" i="2" s="1"/>
  <c r="F146" i="2" l="1"/>
  <c r="F287" i="2" s="1"/>
  <c r="E17" i="2" l="1"/>
  <c r="D292" i="2"/>
  <c r="E292" i="2" s="1"/>
  <c r="F293" i="2" s="1"/>
  <c r="F295" i="2" s="1"/>
  <c r="E36" i="2" s="1"/>
  <c r="E37" i="2" l="1"/>
  <c r="F298" i="2"/>
  <c r="E4" i="19" s="1"/>
  <c r="F17" i="2" l="1"/>
  <c r="F35" i="2"/>
  <c r="F303" i="2"/>
  <c r="F19" i="2"/>
  <c r="F25" i="2"/>
  <c r="F18" i="2"/>
  <c r="F24" i="2"/>
  <c r="F21" i="2"/>
  <c r="F26" i="2"/>
  <c r="F33" i="2"/>
  <c r="F32" i="2"/>
  <c r="F20" i="2"/>
  <c r="F27" i="2"/>
  <c r="F28" i="2"/>
  <c r="F29" i="2"/>
  <c r="F23" i="2"/>
  <c r="F30" i="2"/>
  <c r="F22" i="2"/>
  <c r="F34" i="2"/>
  <c r="F31" i="2"/>
  <c r="F36" i="2"/>
  <c r="F37" i="2" l="1"/>
  <c r="E6" i="19" l="1"/>
  <c r="A13" i="19" l="1"/>
</calcChain>
</file>

<file path=xl/comments1.xml><?xml version="1.0" encoding="utf-8"?>
<comments xmlns="http://schemas.openxmlformats.org/spreadsheetml/2006/main">
  <authors>
    <author>Clauber Bridi</author>
  </authors>
  <commentList>
    <comment ref="A15" author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9" author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61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4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6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72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74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5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77" author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78" author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80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3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5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91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92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93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94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5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6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8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00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8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110" authorId="0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11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13" author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14" author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16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7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20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22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7" author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28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29" author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30" author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35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6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7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42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43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7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76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88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89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90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3" author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94" authorId="0">
      <text>
        <r>
          <rPr>
            <sz val="9"/>
            <color indexed="81"/>
            <rFont val="Tahoma"/>
            <family val="2"/>
          </rPr>
          <t>Informar a vida útil estimada para o baú, em anos</t>
        </r>
      </text>
    </comment>
    <comment ref="C195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6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0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06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2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23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29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32" author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32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34" author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34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36" author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36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38" authorId="0">
      <text>
        <r>
          <rPr>
            <sz val="9"/>
            <color indexed="81"/>
            <rFont val="Tahoma"/>
            <family val="2"/>
          </rPr>
          <t>Informar o consumo de Arla a cada 1000km</t>
        </r>
      </text>
    </comment>
    <comment ref="D238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40" author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40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42" author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42" author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49" author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54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54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55" author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56" author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57" author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67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7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8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8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9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9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71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71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76" author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9" author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81" author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92" author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301" author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sharedStrings.xml><?xml version="1.0" encoding="utf-8"?>
<sst xmlns="http://schemas.openxmlformats.org/spreadsheetml/2006/main" count="652" uniqueCount="365">
  <si>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</si>
  <si>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</si>
  <si>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</si>
  <si>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</si>
  <si>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</si>
  <si>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</si>
  <si>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</si>
  <si>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</si>
  <si>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</si>
  <si>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</si>
  <si>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</si>
  <si>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</si>
  <si>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</si>
  <si>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</si>
  <si>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</si>
  <si>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</si>
  <si>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</si>
  <si>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</si>
  <si>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</si>
  <si>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</si>
  <si>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</si>
  <si>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</si>
  <si>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</si>
  <si>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</si>
  <si>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</si>
  <si>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</si>
  <si>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Pá de Concha</t>
  </si>
  <si>
    <t>Calça</t>
  </si>
  <si>
    <t>Camiseta</t>
  </si>
  <si>
    <t>Boné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</si>
  <si>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</si>
  <si>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</si>
  <si>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</si>
  <si>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</si>
  <si>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</si>
  <si>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</si>
  <si>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</si>
  <si>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</si>
  <si>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</si>
  <si>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</si>
  <si>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</si>
  <si>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</si>
  <si>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</si>
  <si>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</si>
  <si>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</si>
  <si>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</si>
  <si>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</si>
  <si>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</si>
  <si>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</si>
  <si>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</si>
  <si>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</si>
  <si>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</si>
  <si>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</si>
  <si>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</si>
  <si>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</si>
  <si>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</si>
  <si>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</si>
  <si>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</si>
  <si>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</si>
  <si>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</si>
  <si>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</si>
  <si>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</si>
  <si>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</si>
  <si>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</si>
  <si>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</si>
  <si>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</si>
  <si>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</si>
  <si>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</si>
  <si>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</si>
  <si>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</si>
  <si>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</si>
  <si>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</si>
  <si>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</si>
  <si>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</si>
  <si>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</si>
  <si>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</si>
  <si>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</si>
  <si>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</si>
  <si>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</si>
  <si>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</si>
  <si>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</si>
  <si>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Fórmula para o cálculo do BDI:</t>
  </si>
  <si>
    <t>{[(1+AC+SRG) x (1+L) x (1+DF)] / (1-T)} -1</t>
  </si>
  <si>
    <t>Resultado do cálculo do BDI:</t>
  </si>
  <si>
    <t>1.2. Coletor Turno Noite</t>
  </si>
  <si>
    <t>Vale Transporte</t>
  </si>
  <si>
    <t>Dias Trabalhados por mês</t>
  </si>
  <si>
    <t>dia</t>
  </si>
  <si>
    <t>Custo Mensal com Mão-de-obra (R$/mês)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</si>
  <si>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</si>
  <si>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</si>
  <si>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</si>
  <si>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Horas Extras Noturnas (100%)</t>
  </si>
  <si>
    <t>1.1. Coletor Turno Dia</t>
  </si>
  <si>
    <t>1.3. Motorista Turno do Dia</t>
  </si>
  <si>
    <t>hora contabilizada</t>
  </si>
  <si>
    <t>1.5. Vale Transporte</t>
  </si>
  <si>
    <t>Vida útil do chassis</t>
  </si>
  <si>
    <t>anos</t>
  </si>
  <si>
    <t>Depreciação do chassis</t>
  </si>
  <si>
    <t>Custo de aquisição do chassis</t>
  </si>
  <si>
    <t>Custo do chassis</t>
  </si>
  <si>
    <t>3.1.2. Remuneração do Capital</t>
  </si>
  <si>
    <t>Investimento médio total do chassis</t>
  </si>
  <si>
    <t>Remuneração mensal de capital do chassis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</si>
  <si>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</si>
  <si>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</si>
  <si>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</si>
  <si>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</si>
  <si>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</si>
  <si>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</si>
  <si>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</si>
  <si>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</si>
  <si>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</si>
  <si>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</si>
  <si>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</si>
  <si>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</si>
  <si>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</si>
  <si>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</si>
  <si>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</si>
  <si>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</si>
  <si>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</si>
  <si>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</si>
  <si>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</si>
  <si>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</si>
  <si>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</si>
  <si>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</si>
  <si>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</si>
  <si>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</si>
  <si>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</si>
  <si>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</si>
  <si>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</si>
  <si>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</si>
  <si>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</si>
  <si>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</si>
  <si>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</si>
  <si>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</si>
  <si>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</si>
  <si>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</si>
  <si>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</si>
  <si>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</si>
  <si>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</si>
  <si>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</si>
  <si>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</si>
  <si>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</si>
  <si>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</si>
  <si>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</si>
  <si>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</si>
  <si>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</si>
  <si>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</si>
  <si>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</si>
  <si>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</si>
  <si>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</si>
  <si>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</si>
  <si>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</si>
  <si>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</si>
  <si>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</si>
  <si>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</si>
  <si>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</si>
  <si>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</si>
  <si>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</si>
  <si>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</si>
  <si>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</si>
  <si>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</si>
  <si>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</si>
  <si>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</si>
  <si>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</si>
  <si>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</si>
  <si>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</si>
  <si>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</si>
  <si>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</si>
  <si>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</si>
  <si>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</si>
  <si>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</si>
  <si>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</si>
  <si>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</si>
  <si>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</si>
  <si>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</si>
  <si>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</si>
  <si>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</si>
  <si>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</si>
  <si>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</si>
  <si>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</si>
  <si>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</si>
  <si>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</si>
  <si>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</si>
  <si>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</si>
  <si>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</si>
  <si>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</si>
  <si>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</si>
  <si>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</si>
  <si>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</si>
  <si>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</si>
  <si>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</si>
  <si>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</si>
  <si>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</si>
  <si>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</si>
  <si>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</si>
  <si>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</si>
  <si>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</si>
  <si>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</si>
  <si>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</si>
  <si>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</si>
  <si>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</si>
  <si>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Horas Extras Noturnas (50%)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</si>
  <si>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</si>
  <si>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</si>
  <si>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</si>
  <si>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</si>
  <si>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Quantidade média de resíduos coletados por mês: </t>
  </si>
  <si>
    <t>Custo Mensal com Monitoramento da Frota (R$/mês)</t>
  </si>
  <si>
    <t>Implantação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</si>
  <si>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</si>
  <si>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</si>
  <si>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</si>
  <si>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</si>
  <si>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</si>
  <si>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 xml:space="preserve">2. Composição dos Encargos Sociais 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</si>
  <si>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</si>
  <si>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</si>
  <si>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</si>
  <si>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</si>
  <si>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</si>
  <si>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</si>
  <si>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</si>
  <si>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</si>
  <si>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</si>
  <si>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</si>
  <si>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</si>
  <si>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</si>
  <si>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</si>
  <si>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</si>
  <si>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</si>
  <si>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</si>
  <si>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</si>
  <si>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</si>
  <si>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</si>
  <si>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</si>
  <si>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</si>
  <si>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</si>
  <si>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</si>
  <si>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</si>
  <si>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</si>
  <si>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</si>
  <si>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Unid</t>
  </si>
  <si>
    <t>i</t>
  </si>
  <si>
    <t>3. Preencher somente células em amarelo</t>
  </si>
  <si>
    <t>Depreciação Média</t>
  </si>
  <si>
    <t xml:space="preserve">1. Esta planilha é somente um modelo-base, devendo ser adaptada para cada caso concreto. </t>
  </si>
  <si>
    <t>Qualquer custo previsto no edital e não contemplado nesta planilha deverá ser devidamente incluído.</t>
  </si>
  <si>
    <t>4. As células azuis deverão ter seus valores preenchidos em outra planilha do arquivo.</t>
  </si>
  <si>
    <t>2. Antes de preenchê-la, leia a Orientação Técnica - Serviço de coleta de resíduos sólidos domiciliares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</si>
  <si>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</si>
  <si>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</si>
  <si>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</si>
  <si>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</si>
  <si>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</si>
  <si>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</si>
  <si>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</si>
  <si>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</si>
  <si>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Estoque recuperado início do Período 01-03-2018</t>
  </si>
  <si>
    <t>Estoque recuperado final do Período 28-02-2019</t>
  </si>
  <si>
    <t>Variação Emprego Absoluta de 01-03-2018 a 28-02-2019</t>
  </si>
  <si>
    <t xml:space="preserve">O orçamento deve ser realizado por responsável técnico habilitado e é </t>
  </si>
  <si>
    <t>de responsabilidade do seu autor.</t>
  </si>
  <si>
    <t xml:space="preserve">O orçamento deve ser realizado por responsável técnico habilitado e </t>
  </si>
  <si>
    <t>é de responsabilidade do seu autor.</t>
  </si>
  <si>
    <t xml:space="preserve">Ordem </t>
  </si>
  <si>
    <t xml:space="preserve">Nr. Func. </t>
  </si>
  <si>
    <t xml:space="preserve">Cargo </t>
  </si>
  <si>
    <t xml:space="preserve">Dias </t>
  </si>
  <si>
    <t xml:space="preserve">Entrada </t>
  </si>
  <si>
    <t>Saída</t>
  </si>
  <si>
    <t>Total Horas</t>
  </si>
  <si>
    <t xml:space="preserve">Total de dias por semana </t>
  </si>
  <si>
    <t xml:space="preserve">Total de horas por semana </t>
  </si>
  <si>
    <t xml:space="preserve">Dias úteis semana </t>
  </si>
  <si>
    <t>Total de dias com (DSR) Descanso Semanal Remunerado</t>
  </si>
  <si>
    <t>Total de horas/dia com (DSR)</t>
  </si>
  <si>
    <t xml:space="preserve">Total de dias no mês (30 dias) </t>
  </si>
  <si>
    <t>Total geral de horas mês com (DSR)</t>
  </si>
  <si>
    <t>Total geral de horas base mês com (DSR)</t>
  </si>
  <si>
    <t xml:space="preserve">Fator de utilização </t>
  </si>
  <si>
    <t>Distância</t>
  </si>
  <si>
    <t>Ponto a Ponto</t>
  </si>
  <si>
    <t>Trecho 01</t>
  </si>
  <si>
    <t>Custo do baú</t>
  </si>
  <si>
    <t>Investimento médio total do baú</t>
  </si>
  <si>
    <t>Remuneração mensal de capital do baú</t>
  </si>
  <si>
    <t>Trecho</t>
  </si>
  <si>
    <t>Tributos - PIS/COFINS/ e CPP se houver</t>
  </si>
  <si>
    <t>Idade do chassis</t>
  </si>
  <si>
    <t>Depreciação mensal do chassis</t>
  </si>
  <si>
    <t>1.4. Encarregado/Supervisor</t>
  </si>
  <si>
    <t xml:space="preserve">Descrição </t>
  </si>
  <si>
    <t>Total Geral</t>
  </si>
  <si>
    <t>Resumo</t>
  </si>
  <si>
    <t xml:space="preserve">Admin. </t>
  </si>
  <si>
    <t>Encargos Soc.</t>
  </si>
  <si>
    <t xml:space="preserve">Total % </t>
  </si>
  <si>
    <t>Total Margem</t>
  </si>
  <si>
    <t xml:space="preserve">Considerado 3 horas semanais.  </t>
  </si>
  <si>
    <t xml:space="preserve">5. Monitoramento da frota  </t>
  </si>
  <si>
    <t>Custo de Arla / 1.000 km</t>
  </si>
  <si>
    <t>Custo mensal com Arla</t>
  </si>
  <si>
    <t xml:space="preserve">Custo do jogo de pneus </t>
  </si>
  <si>
    <t xml:space="preserve">Coleta, transporte e destino final </t>
  </si>
  <si>
    <t xml:space="preserve">PO </t>
  </si>
  <si>
    <t>5. Composição do BDI - Benefícios e Despesas Indiretas</t>
  </si>
  <si>
    <t xml:space="preserve">Total Geral litros ano </t>
  </si>
  <si>
    <t xml:space="preserve">Litros/dia </t>
  </si>
  <si>
    <t xml:space="preserve">Litros/Mês </t>
  </si>
  <si>
    <t xml:space="preserve">Previsão litros coletadas e enviadas ao destino final </t>
  </si>
  <si>
    <t xml:space="preserve">Motorista </t>
  </si>
  <si>
    <t xml:space="preserve">Sexta </t>
  </si>
  <si>
    <t xml:space="preserve">Cargo: Coletor e motorista </t>
  </si>
  <si>
    <t xml:space="preserve">Total de horas por coletor e motorista </t>
  </si>
  <si>
    <t xml:space="preserve">Locais de coleta:  Secretaria de Saúde </t>
  </si>
  <si>
    <t>6. Depreciação Referencial TCE/RS (%)</t>
  </si>
  <si>
    <t xml:space="preserve">Avental impermeável </t>
  </si>
  <si>
    <t xml:space="preserve">Camiseta manga 3/4 ou longa </t>
  </si>
  <si>
    <t xml:space="preserve">Botina/bota impermeável </t>
  </si>
  <si>
    <t xml:space="preserve">Mascara respiratória </t>
  </si>
  <si>
    <t xml:space="preserve">Óculos </t>
  </si>
  <si>
    <t xml:space="preserve">Gorro descartável </t>
  </si>
  <si>
    <t xml:space="preserve">Luva de latex forrada com proteção impermeável </t>
  </si>
  <si>
    <t>2.1. Uniformes e EPIs para Coletor e Motorista</t>
  </si>
  <si>
    <t xml:space="preserve">3.1. Veículo Coletor </t>
  </si>
  <si>
    <t>Custo de aquisição baú</t>
  </si>
  <si>
    <t xml:space="preserve">Litros </t>
  </si>
  <si>
    <t>Lixo Hospitalar do Grupo A e E</t>
  </si>
  <si>
    <t>Litro</t>
  </si>
  <si>
    <t>Lixo Hospitalar do Grupo B</t>
  </si>
  <si>
    <t xml:space="preserve">Tipo de resíduos </t>
  </si>
  <si>
    <t>Grupo A e E</t>
  </si>
  <si>
    <t>Grupo B</t>
  </si>
  <si>
    <t xml:space="preserve">Total Geral litros mês </t>
  </si>
  <si>
    <t xml:space="preserve">Rota de Coleta de Resíduos de Serviços de Saúde </t>
  </si>
  <si>
    <t>Rota 1  - Coleta de Resíduos de Saúde</t>
  </si>
  <si>
    <t>Trecho 02</t>
  </si>
  <si>
    <t>1</t>
  </si>
  <si>
    <t>2</t>
  </si>
  <si>
    <t>Litros de coleta de serviços de resíduos de saúde</t>
  </si>
  <si>
    <t>Planilha com os horários dos funcionários de coleta de resíduos de serviços de saúde</t>
  </si>
  <si>
    <t>1. Coleta de Resíduos de Serviços de Saúde</t>
  </si>
  <si>
    <t xml:space="preserve">Coletor resíduos </t>
  </si>
  <si>
    <t xml:space="preserve">4. Custo dos resíduos de saúde </t>
  </si>
  <si>
    <t>R$/litro</t>
  </si>
  <si>
    <t>PREÇO POR LITRO COLETADO:  [A/B]</t>
  </si>
  <si>
    <t>Resumo custo edital dos serviços de coleta de serviços de saúde</t>
  </si>
  <si>
    <t>Obs: Salário do motorista conforme Convenção Coletiva (CETCERGS 2020/2021)</t>
  </si>
  <si>
    <t>Frota Reserva 10%</t>
  </si>
  <si>
    <t xml:space="preserve">Distância total do percurso </t>
  </si>
  <si>
    <t>Prefeitura Municipal de Colorado - RS</t>
  </si>
  <si>
    <t xml:space="preserve">Obs: Convenção Coletiva (Sind. ASSEIO 2021).  </t>
  </si>
  <si>
    <t>Prefeitura Municipal de Colorado</t>
  </si>
  <si>
    <t>Periodicidade: Mensal</t>
  </si>
  <si>
    <t>Distância total do percurso (01 por mês)</t>
  </si>
  <si>
    <t xml:space="preserve">Prefeitura Municipal De Colorado </t>
  </si>
  <si>
    <t>Período: Estimativa 2021</t>
  </si>
  <si>
    <t xml:space="preserve">PREFEITURA MUNICIPAL DE COLORADO </t>
  </si>
  <si>
    <t>5. Benefícios e Despesas Indiretas - BDI</t>
  </si>
  <si>
    <t>Secret. Saúde  - Destino</t>
  </si>
  <si>
    <t>Destino x Secret. Saúde</t>
  </si>
  <si>
    <t xml:space="preserve">Máscara facial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</si>
</sst>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_-;\-* #,##0_-;_-* &quot;-&quot;??_-;_-@_-"/>
    <numFmt numFmtId="171" formatCode="_-* #,##0.0_-;\-* #,##0.0_-;_-* &quot;-&quot;??_-;_-@_-"/>
    <numFmt numFmtId="172" formatCode="_ * #,##0.00_ ;_ * \-#,##0.00_ ;_ * &quot;-&quot;??_ ;_ @_ "/>
    <numFmt numFmtId="173" formatCode="_(* #,##0.0000_);_(* \(#,##0.0000\);_(* &quot;-&quot;??_);_(@_)"/>
    <numFmt numFmtId="174" formatCode="_(* #,##0.00000_);_(* \(#,##0.00000\);_(* &quot;-&quot;??_);_(@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8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2" fillId="0" borderId="0"/>
    <xf numFmtId="0" fontId="13" fillId="0" borderId="0"/>
    <xf numFmtId="0" fontId="40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24">
    <xf numFmtId="0" fontId="0" fillId="0" borderId="0" xfId="0"/>
    <xf numFmtId="0" fontId="18" fillId="0" borderId="0" xfId="0" applyFont="1"/>
    <xf numFmtId="0" fontId="18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5" fontId="18" fillId="0" borderId="0" xfId="3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165" fontId="18" fillId="0" borderId="2" xfId="3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165" fontId="18" fillId="0" borderId="1" xfId="3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18" fillId="0" borderId="0" xfId="3" applyFont="1" applyAlignment="1">
      <alignment horizontal="center" vertical="center"/>
    </xf>
    <xf numFmtId="165" fontId="15" fillId="2" borderId="4" xfId="3" applyFont="1" applyFill="1" applyBorder="1" applyAlignment="1">
      <alignment horizontal="center" vertical="center"/>
    </xf>
    <xf numFmtId="165" fontId="15" fillId="2" borderId="4" xfId="3" applyFont="1" applyFill="1" applyBorder="1" applyAlignment="1">
      <alignment vertical="center"/>
    </xf>
    <xf numFmtId="165" fontId="15" fillId="0" borderId="0" xfId="3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65" fontId="15" fillId="0" borderId="6" xfId="3" applyFont="1" applyBorder="1" applyAlignment="1">
      <alignment vertical="center"/>
    </xf>
    <xf numFmtId="165" fontId="15" fillId="0" borderId="7" xfId="3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165" fontId="18" fillId="0" borderId="6" xfId="3" applyFont="1" applyBorder="1" applyAlignment="1">
      <alignment vertical="center"/>
    </xf>
    <xf numFmtId="165" fontId="18" fillId="0" borderId="7" xfId="3" applyFont="1" applyBorder="1" applyAlignment="1">
      <alignment vertical="center"/>
    </xf>
    <xf numFmtId="165" fontId="15" fillId="0" borderId="0" xfId="3" applyFont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165" fontId="15" fillId="0" borderId="0" xfId="3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5" fontId="15" fillId="0" borderId="0" xfId="3" applyFont="1" applyBorder="1" applyAlignment="1">
      <alignment vertical="center"/>
    </xf>
    <xf numFmtId="165" fontId="17" fillId="0" borderId="0" xfId="3" applyFont="1" applyAlignment="1">
      <alignment vertical="center"/>
    </xf>
    <xf numFmtId="166" fontId="18" fillId="0" borderId="1" xfId="3" applyNumberFormat="1" applyFont="1" applyBorder="1" applyAlignment="1">
      <alignment vertical="center"/>
    </xf>
    <xf numFmtId="165" fontId="18" fillId="0" borderId="0" xfId="3" applyFont="1"/>
    <xf numFmtId="165" fontId="16" fillId="0" borderId="0" xfId="3" applyFont="1" applyAlignment="1">
      <alignment vertical="center"/>
    </xf>
    <xf numFmtId="165" fontId="0" fillId="0" borderId="11" xfId="3" applyFont="1" applyBorder="1" applyAlignment="1">
      <alignment vertical="center"/>
    </xf>
    <xf numFmtId="165" fontId="15" fillId="0" borderId="12" xfId="3" applyFont="1" applyBorder="1" applyAlignment="1">
      <alignment horizontal="center" vertical="center"/>
    </xf>
    <xf numFmtId="165" fontId="15" fillId="0" borderId="5" xfId="3" applyFont="1" applyBorder="1" applyAlignment="1">
      <alignment horizontal="left" vertical="center"/>
    </xf>
    <xf numFmtId="4" fontId="15" fillId="0" borderId="6" xfId="0" applyNumberFormat="1" applyFont="1" applyBorder="1" applyAlignment="1">
      <alignment horizontal="centerContinuous" vertical="center"/>
    </xf>
    <xf numFmtId="165" fontId="15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15" fillId="0" borderId="13" xfId="3" applyFont="1" applyBorder="1" applyAlignment="1">
      <alignment horizontal="right" vertical="center"/>
    </xf>
    <xf numFmtId="165" fontId="0" fillId="0" borderId="14" xfId="3" applyFont="1" applyBorder="1" applyAlignment="1">
      <alignment vertical="center"/>
    </xf>
    <xf numFmtId="165" fontId="18" fillId="0" borderId="1" xfId="3" applyFont="1" applyBorder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5" fontId="18" fillId="0" borderId="0" xfId="3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65" fontId="16" fillId="0" borderId="0" xfId="3" applyFon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65" fontId="18" fillId="0" borderId="0" xfId="3" applyFont="1" applyBorder="1" applyAlignment="1">
      <alignment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165" fontId="25" fillId="2" borderId="17" xfId="3" applyFont="1" applyFill="1" applyBorder="1" applyAlignment="1">
      <alignment horizontal="center" vertical="center"/>
    </xf>
    <xf numFmtId="165" fontId="25" fillId="2" borderId="18" xfId="3" applyFont="1" applyFill="1" applyBorder="1" applyAlignment="1">
      <alignment horizontal="center" vertical="center"/>
    </xf>
    <xf numFmtId="165" fontId="15" fillId="0" borderId="19" xfId="3" applyFont="1" applyBorder="1" applyAlignment="1">
      <alignment horizontal="center" vertical="center"/>
    </xf>
    <xf numFmtId="165" fontId="13" fillId="0" borderId="14" xfId="3" applyFont="1" applyBorder="1" applyAlignment="1">
      <alignment horizontal="left" vertical="center"/>
    </xf>
    <xf numFmtId="165" fontId="18" fillId="0" borderId="9" xfId="3" applyFont="1" applyBorder="1" applyAlignment="1">
      <alignment vertical="center"/>
    </xf>
    <xf numFmtId="165" fontId="18" fillId="0" borderId="14" xfId="3" applyFont="1" applyBorder="1" applyAlignment="1">
      <alignment vertical="center"/>
    </xf>
    <xf numFmtId="166" fontId="18" fillId="0" borderId="0" xfId="3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" fontId="18" fillId="0" borderId="20" xfId="3" applyNumberFormat="1" applyFont="1" applyBorder="1" applyAlignment="1">
      <alignment horizontal="center" vertical="center"/>
    </xf>
    <xf numFmtId="165" fontId="15" fillId="0" borderId="28" xfId="3" applyFont="1" applyBorder="1" applyAlignment="1">
      <alignment vertical="center"/>
    </xf>
    <xf numFmtId="4" fontId="15" fillId="0" borderId="29" xfId="0" applyNumberFormat="1" applyFont="1" applyBorder="1" applyAlignment="1">
      <alignment vertical="center"/>
    </xf>
    <xf numFmtId="165" fontId="18" fillId="0" borderId="19" xfId="3" applyFont="1" applyBorder="1" applyAlignment="1">
      <alignment vertical="center"/>
    </xf>
    <xf numFmtId="165" fontId="18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18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15" fillId="0" borderId="31" xfId="3" applyNumberFormat="1" applyFont="1" applyBorder="1" applyAlignment="1">
      <alignment horizontal="center" vertical="center"/>
    </xf>
    <xf numFmtId="165" fontId="24" fillId="0" borderId="1" xfId="3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5" fontId="15" fillId="2" borderId="4" xfId="3" applyNumberFormat="1" applyFont="1" applyFill="1" applyBorder="1" applyAlignment="1">
      <alignment horizontal="center" vertical="center"/>
    </xf>
    <xf numFmtId="165" fontId="18" fillId="0" borderId="1" xfId="3" applyFont="1" applyFill="1" applyBorder="1" applyAlignment="1">
      <alignment horizontal="center" vertical="center"/>
    </xf>
    <xf numFmtId="165" fontId="23" fillId="0" borderId="0" xfId="3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165" fontId="18" fillId="3" borderId="2" xfId="3" applyFont="1" applyFill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 vertical="center"/>
    </xf>
    <xf numFmtId="165" fontId="18" fillId="3" borderId="1" xfId="3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165" fontId="18" fillId="3" borderId="0" xfId="3" applyFont="1" applyFill="1" applyAlignment="1">
      <alignment vertical="center"/>
    </xf>
    <xf numFmtId="0" fontId="18" fillId="0" borderId="0" xfId="0" applyFont="1" applyAlignment="1">
      <alignment horizontal="right" vertical="center"/>
    </xf>
    <xf numFmtId="166" fontId="18" fillId="0" borderId="1" xfId="3" applyNumberFormat="1" applyFont="1" applyBorder="1" applyAlignment="1">
      <alignment horizontal="center" vertical="center"/>
    </xf>
    <xf numFmtId="165" fontId="18" fillId="3" borderId="1" xfId="3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4" fontId="18" fillId="3" borderId="2" xfId="0" applyNumberFormat="1" applyFont="1" applyFill="1" applyBorder="1" applyAlignment="1">
      <alignment horizontal="center" vertical="center"/>
    </xf>
    <xf numFmtId="167" fontId="18" fillId="3" borderId="2" xfId="3" applyNumberFormat="1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13" fontId="18" fillId="3" borderId="1" xfId="0" applyNumberFormat="1" applyFont="1" applyFill="1" applyBorder="1" applyAlignment="1">
      <alignment horizontal="center" vertical="center"/>
    </xf>
    <xf numFmtId="166" fontId="18" fillId="0" borderId="1" xfId="3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5" fontId="15" fillId="0" borderId="1" xfId="3" applyFont="1" applyBorder="1" applyAlignment="1">
      <alignment horizontal="center" vertical="center"/>
    </xf>
    <xf numFmtId="165" fontId="18" fillId="0" borderId="2" xfId="3" applyFont="1" applyFill="1" applyBorder="1" applyAlignment="1">
      <alignment horizontal="center" vertical="center"/>
    </xf>
    <xf numFmtId="0" fontId="20" fillId="0" borderId="0" xfId="1" applyAlignment="1" applyProtection="1">
      <alignment vertical="center"/>
    </xf>
    <xf numFmtId="0" fontId="15" fillId="0" borderId="0" xfId="0" applyFont="1"/>
    <xf numFmtId="0" fontId="25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165" fontId="25" fillId="2" borderId="33" xfId="3" applyFont="1" applyFill="1" applyBorder="1" applyAlignment="1">
      <alignment horizontal="center" vertical="center"/>
    </xf>
    <xf numFmtId="165" fontId="18" fillId="0" borderId="0" xfId="3" applyFont="1" applyFill="1" applyAlignment="1">
      <alignment vertical="center"/>
    </xf>
    <xf numFmtId="165" fontId="15" fillId="0" borderId="1" xfId="3" applyFont="1" applyFill="1" applyBorder="1" applyAlignment="1">
      <alignment horizontal="center" vertical="center"/>
    </xf>
    <xf numFmtId="164" fontId="15" fillId="0" borderId="34" xfId="0" applyNumberFormat="1" applyFont="1" applyBorder="1" applyAlignment="1">
      <alignment vertical="center"/>
    </xf>
    <xf numFmtId="165" fontId="15" fillId="0" borderId="35" xfId="3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165" fontId="15" fillId="0" borderId="0" xfId="3" applyFont="1" applyAlignment="1">
      <alignment horizontal="center" vertical="center"/>
    </xf>
    <xf numFmtId="165" fontId="15" fillId="0" borderId="3" xfId="3" applyFont="1" applyBorder="1" applyAlignment="1">
      <alignment horizontal="center" vertical="center"/>
    </xf>
    <xf numFmtId="2" fontId="18" fillId="0" borderId="1" xfId="3" applyNumberFormat="1" applyFont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18" fillId="0" borderId="0" xfId="3" applyFont="1" applyAlignment="1">
      <alignment horizontal="right" vertical="center"/>
    </xf>
    <xf numFmtId="165" fontId="15" fillId="2" borderId="7" xfId="3" applyFont="1" applyFill="1" applyBorder="1" applyAlignment="1">
      <alignment horizontal="center" vertical="center"/>
    </xf>
    <xf numFmtId="165" fontId="15" fillId="0" borderId="14" xfId="3" applyFont="1" applyBorder="1" applyAlignment="1">
      <alignment vertical="center"/>
    </xf>
    <xf numFmtId="165" fontId="15" fillId="0" borderId="9" xfId="0" applyNumberFormat="1" applyFont="1" applyBorder="1" applyAlignment="1">
      <alignment vertical="center"/>
    </xf>
    <xf numFmtId="165" fontId="15" fillId="0" borderId="9" xfId="3" applyFont="1" applyBorder="1" applyAlignment="1">
      <alignment vertical="center"/>
    </xf>
    <xf numFmtId="10" fontId="15" fillId="0" borderId="15" xfId="2" applyNumberFormat="1" applyFont="1" applyBorder="1" applyAlignment="1">
      <alignment vertical="center"/>
    </xf>
    <xf numFmtId="165" fontId="15" fillId="0" borderId="38" xfId="3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5" fontId="18" fillId="0" borderId="39" xfId="3" applyFont="1" applyBorder="1" applyAlignment="1">
      <alignment vertical="center"/>
    </xf>
    <xf numFmtId="165" fontId="18" fillId="0" borderId="40" xfId="3" applyFont="1" applyBorder="1" applyAlignment="1">
      <alignment vertical="center"/>
    </xf>
    <xf numFmtId="165" fontId="18" fillId="0" borderId="41" xfId="3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1" fontId="18" fillId="0" borderId="37" xfId="3" applyNumberFormat="1" applyFont="1" applyBorder="1" applyAlignment="1">
      <alignment horizontal="center" vertical="center"/>
    </xf>
    <xf numFmtId="165" fontId="15" fillId="0" borderId="14" xfId="3" applyFont="1" applyBorder="1" applyAlignment="1">
      <alignment horizontal="left" vertical="center"/>
    </xf>
    <xf numFmtId="4" fontId="15" fillId="0" borderId="9" xfId="0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5" fontId="18" fillId="6" borderId="1" xfId="3" applyFont="1" applyFill="1" applyBorder="1" applyAlignment="1">
      <alignment horizontal="center" vertical="center"/>
    </xf>
    <xf numFmtId="165" fontId="18" fillId="6" borderId="1" xfId="3" applyFont="1" applyFill="1" applyBorder="1" applyAlignment="1">
      <alignment vertical="center"/>
    </xf>
    <xf numFmtId="9" fontId="15" fillId="0" borderId="18" xfId="2" applyFont="1" applyBorder="1" applyAlignment="1">
      <alignment vertical="center"/>
    </xf>
    <xf numFmtId="10" fontId="18" fillId="0" borderId="15" xfId="2" applyNumberFormat="1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9" xfId="3" applyFont="1" applyFill="1" applyBorder="1" applyAlignment="1">
      <alignment vertical="center"/>
    </xf>
    <xf numFmtId="0" fontId="18" fillId="0" borderId="1" xfId="0" applyNumberFormat="1" applyFont="1" applyBorder="1" applyAlignment="1">
      <alignment horizontal="center" vertical="center"/>
    </xf>
    <xf numFmtId="166" fontId="15" fillId="0" borderId="0" xfId="3" applyNumberFormat="1" applyFont="1" applyBorder="1" applyAlignment="1">
      <alignment horizontal="center" vertical="center"/>
    </xf>
    <xf numFmtId="0" fontId="30" fillId="0" borderId="14" xfId="0" applyFont="1" applyBorder="1"/>
    <xf numFmtId="0" fontId="18" fillId="0" borderId="0" xfId="0" applyFont="1" applyBorder="1"/>
    <xf numFmtId="0" fontId="30" fillId="0" borderId="47" xfId="0" applyFont="1" applyBorder="1"/>
    <xf numFmtId="0" fontId="30" fillId="3" borderId="20" xfId="0" applyFont="1" applyFill="1" applyBorder="1"/>
    <xf numFmtId="0" fontId="30" fillId="0" borderId="23" xfId="0" applyFont="1" applyBorder="1"/>
    <xf numFmtId="0" fontId="30" fillId="0" borderId="48" xfId="0" applyFont="1" applyBorder="1"/>
    <xf numFmtId="0" fontId="30" fillId="0" borderId="20" xfId="0" applyFont="1" applyBorder="1"/>
    <xf numFmtId="0" fontId="30" fillId="0" borderId="28" xfId="0" applyFont="1" applyBorder="1"/>
    <xf numFmtId="2" fontId="31" fillId="7" borderId="1" xfId="0" applyNumberFormat="1" applyFont="1" applyFill="1" applyBorder="1" applyAlignment="1">
      <alignment horizontal="right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2" fontId="31" fillId="7" borderId="36" xfId="0" applyNumberFormat="1" applyFont="1" applyFill="1" applyBorder="1" applyAlignment="1">
      <alignment horizontal="right" vertical="center"/>
    </xf>
    <xf numFmtId="0" fontId="31" fillId="0" borderId="23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10" fontId="31" fillId="0" borderId="20" xfId="0" applyNumberFormat="1" applyFont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10" fontId="32" fillId="0" borderId="20" xfId="0" applyNumberFormat="1" applyFont="1" applyBorder="1" applyAlignment="1">
      <alignment horizontal="right" vertical="center"/>
    </xf>
    <xf numFmtId="0" fontId="31" fillId="5" borderId="23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left" vertical="center"/>
    </xf>
    <xf numFmtId="10" fontId="32" fillId="5" borderId="20" xfId="0" applyNumberFormat="1" applyFont="1" applyFill="1" applyBorder="1" applyAlignment="1">
      <alignment horizontal="right" vertical="center"/>
    </xf>
    <xf numFmtId="0" fontId="33" fillId="0" borderId="1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10" fontId="18" fillId="0" borderId="0" xfId="0" applyNumberFormat="1" applyFont="1"/>
    <xf numFmtId="9" fontId="31" fillId="0" borderId="0" xfId="2" applyFont="1" applyBorder="1" applyAlignment="1">
      <alignment horizontal="right" vertical="center"/>
    </xf>
    <xf numFmtId="10" fontId="18" fillId="0" borderId="0" xfId="0" applyNumberFormat="1" applyFont="1" applyBorder="1"/>
    <xf numFmtId="0" fontId="31" fillId="0" borderId="1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31" fillId="9" borderId="24" xfId="0" applyFont="1" applyFill="1" applyBorder="1" applyAlignment="1">
      <alignment horizontal="left" vertical="center"/>
    </xf>
    <xf numFmtId="0" fontId="32" fillId="9" borderId="36" xfId="0" applyFont="1" applyFill="1" applyBorder="1" applyAlignment="1">
      <alignment horizontal="left" vertical="center"/>
    </xf>
    <xf numFmtId="10" fontId="32" fillId="9" borderId="37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10" fontId="32" fillId="0" borderId="0" xfId="0" applyNumberFormat="1" applyFont="1" applyFill="1" applyBorder="1" applyAlignment="1">
      <alignment horizontal="right" vertical="center"/>
    </xf>
    <xf numFmtId="0" fontId="34" fillId="4" borderId="0" xfId="0" applyFont="1" applyFill="1" applyBorder="1" applyAlignment="1">
      <alignment horizontal="left" vertical="center"/>
    </xf>
    <xf numFmtId="10" fontId="31" fillId="0" borderId="0" xfId="0" applyNumberFormat="1" applyFont="1" applyFill="1" applyBorder="1" applyAlignment="1">
      <alignment horizontal="right" vertical="center"/>
    </xf>
    <xf numFmtId="0" fontId="31" fillId="4" borderId="0" xfId="0" applyFont="1" applyFill="1" applyBorder="1" applyAlignment="1">
      <alignment horizontal="left" vertical="center"/>
    </xf>
    <xf numFmtId="10" fontId="31" fillId="0" borderId="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10" fontId="32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justify" vertical="center"/>
    </xf>
    <xf numFmtId="0" fontId="20" fillId="0" borderId="0" xfId="1" applyFont="1" applyBorder="1" applyAlignment="1" applyProtection="1">
      <alignment horizontal="left" vertical="center"/>
    </xf>
    <xf numFmtId="0" fontId="36" fillId="0" borderId="0" xfId="0" applyFont="1" applyBorder="1"/>
    <xf numFmtId="0" fontId="31" fillId="0" borderId="0" xfId="0" applyFont="1" applyBorder="1" applyAlignment="1">
      <alignment horizontal="right" vertical="center"/>
    </xf>
    <xf numFmtId="0" fontId="20" fillId="0" borderId="0" xfId="1" applyFont="1" applyBorder="1" applyAlignment="1" applyProtection="1">
      <alignment vertical="center"/>
    </xf>
    <xf numFmtId="0" fontId="17" fillId="0" borderId="15" xfId="0" applyFont="1" applyBorder="1"/>
    <xf numFmtId="0" fontId="17" fillId="0" borderId="23" xfId="0" applyFont="1" applyBorder="1"/>
    <xf numFmtId="0" fontId="17" fillId="3" borderId="20" xfId="0" applyFont="1" applyFill="1" applyBorder="1"/>
    <xf numFmtId="0" fontId="17" fillId="0" borderId="47" xfId="0" applyFont="1" applyBorder="1"/>
    <xf numFmtId="0" fontId="17" fillId="3" borderId="48" xfId="0" applyFont="1" applyFill="1" applyBorder="1"/>
    <xf numFmtId="0" fontId="17" fillId="0" borderId="49" xfId="0" applyFont="1" applyBorder="1"/>
    <xf numFmtId="0" fontId="17" fillId="3" borderId="50" xfId="0" applyFont="1" applyFill="1" applyBorder="1"/>
    <xf numFmtId="0" fontId="17" fillId="0" borderId="38" xfId="0" applyFont="1" applyBorder="1"/>
    <xf numFmtId="0" fontId="17" fillId="0" borderId="39" xfId="0" applyFont="1" applyBorder="1"/>
    <xf numFmtId="0" fontId="19" fillId="0" borderId="48" xfId="0" applyFont="1" applyBorder="1"/>
    <xf numFmtId="0" fontId="19" fillId="0" borderId="38" xfId="0" applyFont="1" applyFill="1" applyBorder="1" applyAlignment="1">
      <alignment horizontal="left" vertical="center"/>
    </xf>
    <xf numFmtId="0" fontId="17" fillId="0" borderId="0" xfId="0" applyFont="1" applyBorder="1"/>
    <xf numFmtId="9" fontId="17" fillId="0" borderId="23" xfId="2" applyFont="1" applyBorder="1"/>
    <xf numFmtId="9" fontId="17" fillId="0" borderId="1" xfId="2" applyFont="1" applyBorder="1" applyAlignment="1">
      <alignment horizontal="center"/>
    </xf>
    <xf numFmtId="9" fontId="17" fillId="0" borderId="20" xfId="2" applyFont="1" applyBorder="1"/>
    <xf numFmtId="0" fontId="17" fillId="0" borderId="21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/>
    </xf>
    <xf numFmtId="10" fontId="17" fillId="3" borderId="12" xfId="0" applyNumberFormat="1" applyFont="1" applyFill="1" applyBorder="1" applyAlignment="1">
      <alignment horizontal="center" vertical="center"/>
    </xf>
    <xf numFmtId="10" fontId="17" fillId="0" borderId="20" xfId="2" applyNumberFormat="1" applyFont="1" applyBorder="1"/>
    <xf numFmtId="0" fontId="17" fillId="0" borderId="23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0" fontId="17" fillId="3" borderId="20" xfId="0" applyNumberFormat="1" applyFont="1" applyFill="1" applyBorder="1" applyAlignment="1">
      <alignment horizontal="center" vertical="center"/>
    </xf>
    <xf numFmtId="10" fontId="17" fillId="0" borderId="20" xfId="0" applyNumberFormat="1" applyFont="1" applyFill="1" applyBorder="1" applyAlignment="1">
      <alignment horizontal="center" vertical="center"/>
    </xf>
    <xf numFmtId="10" fontId="17" fillId="3" borderId="1" xfId="2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0" borderId="20" xfId="0" applyFont="1" applyBorder="1"/>
    <xf numFmtId="0" fontId="17" fillId="0" borderId="24" xfId="0" applyFont="1" applyFill="1" applyBorder="1" applyAlignment="1">
      <alignment horizontal="left" vertical="center"/>
    </xf>
    <xf numFmtId="10" fontId="17" fillId="3" borderId="37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25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10" fontId="17" fillId="0" borderId="27" xfId="0" applyNumberFormat="1" applyFont="1" applyFill="1" applyBorder="1" applyAlignment="1">
      <alignment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vertical="center"/>
    </xf>
    <xf numFmtId="0" fontId="19" fillId="5" borderId="5" xfId="0" applyFont="1" applyFill="1" applyBorder="1" applyAlignment="1">
      <alignment vertical="center" wrapText="1"/>
    </xf>
    <xf numFmtId="0" fontId="17" fillId="5" borderId="6" xfId="0" applyFont="1" applyFill="1" applyBorder="1" applyAlignment="1">
      <alignment vertical="center"/>
    </xf>
    <xf numFmtId="10" fontId="19" fillId="5" borderId="7" xfId="0" applyNumberFormat="1" applyFont="1" applyFill="1" applyBorder="1" applyAlignment="1">
      <alignment horizontal="center" vertical="center" wrapText="1"/>
    </xf>
    <xf numFmtId="10" fontId="17" fillId="0" borderId="23" xfId="2" applyNumberFormat="1" applyFont="1" applyBorder="1" applyAlignment="1">
      <alignment horizontal="right"/>
    </xf>
    <xf numFmtId="10" fontId="17" fillId="0" borderId="1" xfId="2" applyNumberFormat="1" applyFont="1" applyBorder="1" applyAlignment="1">
      <alignment horizontal="right"/>
    </xf>
    <xf numFmtId="10" fontId="17" fillId="0" borderId="20" xfId="2" applyNumberFormat="1" applyFont="1" applyBorder="1" applyAlignment="1">
      <alignment horizontal="right"/>
    </xf>
    <xf numFmtId="10" fontId="17" fillId="0" borderId="24" xfId="2" applyNumberFormat="1" applyFont="1" applyBorder="1" applyAlignment="1">
      <alignment horizontal="right"/>
    </xf>
    <xf numFmtId="10" fontId="17" fillId="0" borderId="36" xfId="2" applyNumberFormat="1" applyFont="1" applyBorder="1" applyAlignment="1">
      <alignment horizontal="right"/>
    </xf>
    <xf numFmtId="10" fontId="17" fillId="0" borderId="37" xfId="2" applyNumberFormat="1" applyFont="1" applyBorder="1" applyAlignment="1">
      <alignment horizontal="right"/>
    </xf>
    <xf numFmtId="1" fontId="18" fillId="0" borderId="0" xfId="3" applyNumberFormat="1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165" fontId="18" fillId="3" borderId="9" xfId="3" applyNumberFormat="1" applyFont="1" applyFill="1" applyBorder="1" applyAlignment="1">
      <alignment vertical="center"/>
    </xf>
    <xf numFmtId="165" fontId="18" fillId="0" borderId="10" xfId="3" applyFont="1" applyBorder="1" applyAlignment="1">
      <alignment vertical="center"/>
    </xf>
    <xf numFmtId="165" fontId="15" fillId="0" borderId="7" xfId="3" applyFont="1" applyBorder="1" applyAlignment="1">
      <alignment horizontal="right" vertical="center"/>
    </xf>
    <xf numFmtId="165" fontId="15" fillId="2" borderId="4" xfId="3" applyFont="1" applyFill="1" applyBorder="1" applyAlignment="1">
      <alignment horizontal="right" vertical="center"/>
    </xf>
    <xf numFmtId="168" fontId="15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15" fillId="0" borderId="36" xfId="0" applyNumberFormat="1" applyFont="1" applyBorder="1" applyAlignment="1">
      <alignment vertical="center"/>
    </xf>
    <xf numFmtId="165" fontId="15" fillId="0" borderId="11" xfId="3" applyFont="1" applyBorder="1" applyAlignment="1">
      <alignment vertical="center"/>
    </xf>
    <xf numFmtId="165" fontId="15" fillId="0" borderId="5" xfId="3" applyFont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5" fontId="15" fillId="0" borderId="9" xfId="3" applyFont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167" fontId="18" fillId="0" borderId="1" xfId="3" applyNumberFormat="1" applyFont="1" applyBorder="1" applyAlignment="1">
      <alignment horizontal="center" vertical="center"/>
    </xf>
    <xf numFmtId="166" fontId="15" fillId="0" borderId="1" xfId="3" applyNumberFormat="1" applyFont="1" applyBorder="1" applyAlignment="1">
      <alignment horizontal="center" vertical="center"/>
    </xf>
    <xf numFmtId="167" fontId="15" fillId="0" borderId="1" xfId="3" applyNumberFormat="1" applyFont="1" applyBorder="1" applyAlignment="1">
      <alignment horizontal="center" vertical="center"/>
    </xf>
    <xf numFmtId="167" fontId="18" fillId="0" borderId="2" xfId="3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3" fillId="0" borderId="0" xfId="0" applyFont="1"/>
    <xf numFmtId="0" fontId="15" fillId="0" borderId="51" xfId="0" applyFont="1" applyBorder="1" applyAlignment="1">
      <alignment vertical="center"/>
    </xf>
    <xf numFmtId="0" fontId="15" fillId="0" borderId="51" xfId="0" applyFont="1" applyBorder="1" applyAlignment="1">
      <alignment horizontal="center" vertical="center"/>
    </xf>
    <xf numFmtId="165" fontId="15" fillId="0" borderId="51" xfId="3" applyFont="1" applyBorder="1" applyAlignment="1">
      <alignment horizontal="center" vertical="center"/>
    </xf>
    <xf numFmtId="165" fontId="15" fillId="0" borderId="51" xfId="3" applyFont="1" applyFill="1" applyBorder="1" applyAlignment="1">
      <alignment horizontal="center" vertical="center"/>
    </xf>
    <xf numFmtId="0" fontId="17" fillId="0" borderId="23" xfId="0" applyFont="1" applyBorder="1" applyAlignment="1">
      <alignment horizontal="right"/>
    </xf>
    <xf numFmtId="0" fontId="16" fillId="0" borderId="0" xfId="0" applyFont="1" applyAlignment="1">
      <alignment vertical="center"/>
    </xf>
    <xf numFmtId="4" fontId="38" fillId="0" borderId="0" xfId="0" applyNumberFormat="1" applyFont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0" fontId="17" fillId="0" borderId="20" xfId="0" applyFont="1" applyFill="1" applyBorder="1"/>
    <xf numFmtId="0" fontId="37" fillId="0" borderId="0" xfId="0" applyFont="1"/>
    <xf numFmtId="0" fontId="13" fillId="0" borderId="2" xfId="0" applyFont="1" applyBorder="1" applyAlignment="1">
      <alignment vertical="center"/>
    </xf>
    <xf numFmtId="169" fontId="19" fillId="0" borderId="20" xfId="0" applyNumberFormat="1" applyFont="1" applyBorder="1"/>
    <xf numFmtId="9" fontId="30" fillId="0" borderId="20" xfId="2" applyFont="1" applyBorder="1"/>
    <xf numFmtId="10" fontId="30" fillId="0" borderId="20" xfId="2" applyNumberFormat="1" applyFont="1" applyBorder="1"/>
    <xf numFmtId="9" fontId="19" fillId="0" borderId="31" xfId="2" applyFont="1" applyBorder="1"/>
    <xf numFmtId="0" fontId="17" fillId="0" borderId="52" xfId="0" applyFont="1" applyBorder="1"/>
    <xf numFmtId="0" fontId="41" fillId="0" borderId="0" xfId="4" applyFont="1"/>
    <xf numFmtId="0" fontId="12" fillId="0" borderId="0" xfId="4"/>
    <xf numFmtId="0" fontId="41" fillId="0" borderId="1" xfId="4" applyFont="1" applyBorder="1" applyAlignment="1">
      <alignment horizontal="center"/>
    </xf>
    <xf numFmtId="0" fontId="12" fillId="0" borderId="1" xfId="4" applyBorder="1" applyAlignment="1">
      <alignment horizontal="center"/>
    </xf>
    <xf numFmtId="170" fontId="0" fillId="0" borderId="1" xfId="5" applyNumberFormat="1" applyFont="1" applyBorder="1" applyAlignment="1">
      <alignment horizontal="center"/>
    </xf>
    <xf numFmtId="43" fontId="12" fillId="0" borderId="0" xfId="4" applyNumberFormat="1"/>
    <xf numFmtId="165" fontId="13" fillId="3" borderId="2" xfId="3" applyFont="1" applyFill="1" applyBorder="1" applyAlignment="1">
      <alignment horizontal="center" vertical="center"/>
    </xf>
    <xf numFmtId="10" fontId="15" fillId="3" borderId="7" xfId="2" applyNumberFormat="1" applyFont="1" applyFill="1" applyBorder="1" applyAlignment="1">
      <alignment vertical="center"/>
    </xf>
    <xf numFmtId="173" fontId="18" fillId="0" borderId="1" xfId="3" applyNumberFormat="1" applyFont="1" applyBorder="1" applyAlignment="1">
      <alignment vertical="center"/>
    </xf>
    <xf numFmtId="0" fontId="41" fillId="0" borderId="0" xfId="25" applyFont="1"/>
    <xf numFmtId="0" fontId="11" fillId="0" borderId="0" xfId="25"/>
    <xf numFmtId="0" fontId="41" fillId="0" borderId="1" xfId="25" applyFont="1" applyBorder="1"/>
    <xf numFmtId="0" fontId="41" fillId="0" borderId="1" xfId="25" applyFont="1" applyBorder="1" applyAlignment="1">
      <alignment horizontal="center"/>
    </xf>
    <xf numFmtId="20" fontId="41" fillId="0" borderId="1" xfId="25" applyNumberFormat="1" applyFont="1" applyBorder="1"/>
    <xf numFmtId="0" fontId="11" fillId="0" borderId="8" xfId="25" applyBorder="1"/>
    <xf numFmtId="0" fontId="11" fillId="0" borderId="9" xfId="25" applyBorder="1"/>
    <xf numFmtId="0" fontId="11" fillId="0" borderId="1" xfId="25" applyBorder="1"/>
    <xf numFmtId="0" fontId="11" fillId="0" borderId="8" xfId="25" applyFont="1" applyBorder="1"/>
    <xf numFmtId="0" fontId="41" fillId="0" borderId="8" xfId="25" applyFont="1" applyBorder="1"/>
    <xf numFmtId="0" fontId="41" fillId="0" borderId="9" xfId="25" applyFont="1" applyBorder="1"/>
    <xf numFmtId="10" fontId="41" fillId="0" borderId="1" xfId="2" applyNumberFormat="1" applyFont="1" applyBorder="1"/>
    <xf numFmtId="165" fontId="11" fillId="0" borderId="0" xfId="3" applyFont="1"/>
    <xf numFmtId="165" fontId="0" fillId="3" borderId="1" xfId="3" applyFont="1" applyFill="1" applyBorder="1"/>
    <xf numFmtId="13" fontId="13" fillId="3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165" fontId="11" fillId="0" borderId="1" xfId="3" applyFont="1" applyBorder="1"/>
    <xf numFmtId="13" fontId="18" fillId="3" borderId="1" xfId="0" applyNumberFormat="1" applyFont="1" applyFill="1" applyBorder="1" applyAlignment="1">
      <alignment vertical="center"/>
    </xf>
    <xf numFmtId="165" fontId="41" fillId="0" borderId="1" xfId="3" applyFont="1" applyBorder="1"/>
    <xf numFmtId="165" fontId="1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41" fillId="0" borderId="10" xfId="4" applyFont="1" applyBorder="1" applyAlignment="1">
      <alignment horizontal="center"/>
    </xf>
    <xf numFmtId="0" fontId="29" fillId="0" borderId="0" xfId="0" applyFont="1" applyAlignment="1">
      <alignment vertical="center"/>
    </xf>
    <xf numFmtId="0" fontId="42" fillId="0" borderId="0" xfId="4" applyFont="1"/>
    <xf numFmtId="166" fontId="13" fillId="0" borderId="0" xfId="3" applyNumberFormat="1" applyFont="1" applyBorder="1"/>
    <xf numFmtId="0" fontId="8" fillId="0" borderId="0" xfId="4" applyFont="1"/>
    <xf numFmtId="165" fontId="0" fillId="0" borderId="1" xfId="3" applyFont="1" applyBorder="1" applyAlignment="1">
      <alignment horizontal="center"/>
    </xf>
    <xf numFmtId="43" fontId="0" fillId="0" borderId="1" xfId="5" applyNumberFormat="1" applyFont="1" applyBorder="1" applyAlignment="1">
      <alignment horizontal="center"/>
    </xf>
    <xf numFmtId="43" fontId="0" fillId="0" borderId="1" xfId="5" applyNumberFormat="1" applyFont="1" applyBorder="1" applyAlignment="1"/>
    <xf numFmtId="4" fontId="18" fillId="3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13" fillId="0" borderId="1" xfId="3" applyFont="1" applyBorder="1"/>
    <xf numFmtId="165" fontId="0" fillId="0" borderId="1" xfId="3" applyFont="1" applyBorder="1"/>
    <xf numFmtId="0" fontId="15" fillId="0" borderId="1" xfId="0" applyFont="1" applyBorder="1"/>
    <xf numFmtId="165" fontId="15" fillId="0" borderId="1" xfId="0" applyNumberFormat="1" applyFont="1" applyBorder="1"/>
    <xf numFmtId="165" fontId="15" fillId="0" borderId="1" xfId="3" applyFont="1" applyBorder="1"/>
    <xf numFmtId="0" fontId="13" fillId="0" borderId="1" xfId="0" applyFont="1" applyBorder="1"/>
    <xf numFmtId="43" fontId="0" fillId="3" borderId="1" xfId="0" applyNumberFormat="1" applyFill="1" applyBorder="1"/>
    <xf numFmtId="0" fontId="13" fillId="3" borderId="1" xfId="0" applyFont="1" applyFill="1" applyBorder="1"/>
    <xf numFmtId="165" fontId="0" fillId="0" borderId="1" xfId="2" applyNumberFormat="1" applyFont="1" applyBorder="1"/>
    <xf numFmtId="0" fontId="13" fillId="0" borderId="1" xfId="0" applyFont="1" applyBorder="1" applyAlignment="1">
      <alignment horizontal="center" vertical="center"/>
    </xf>
    <xf numFmtId="43" fontId="0" fillId="0" borderId="0" xfId="0" applyNumberFormat="1" applyBorder="1"/>
    <xf numFmtId="0" fontId="0" fillId="0" borderId="0" xfId="0" applyBorder="1"/>
    <xf numFmtId="43" fontId="15" fillId="0" borderId="0" xfId="0" applyNumberFormat="1" applyFont="1" applyBorder="1"/>
    <xf numFmtId="0" fontId="41" fillId="0" borderId="8" xfId="4" applyFont="1" applyBorder="1" applyAlignment="1"/>
    <xf numFmtId="0" fontId="41" fillId="0" borderId="9" xfId="4" applyFont="1" applyBorder="1" applyAlignment="1"/>
    <xf numFmtId="0" fontId="41" fillId="0" borderId="10" xfId="4" applyFont="1" applyBorder="1" applyAlignment="1"/>
    <xf numFmtId="0" fontId="6" fillId="0" borderId="0" xfId="36"/>
    <xf numFmtId="0" fontId="6" fillId="0" borderId="0" xfId="36" applyBorder="1" applyAlignment="1">
      <alignment wrapText="1"/>
    </xf>
    <xf numFmtId="0" fontId="6" fillId="0" borderId="0" xfId="36" applyBorder="1" applyAlignment="1"/>
    <xf numFmtId="0" fontId="6" fillId="0" borderId="0" xfId="36" applyBorder="1"/>
    <xf numFmtId="0" fontId="6" fillId="0" borderId="0" xfId="36" applyBorder="1" applyAlignment="1">
      <alignment horizontal="center"/>
    </xf>
    <xf numFmtId="2" fontId="6" fillId="0" borderId="0" xfId="36" applyNumberFormat="1" applyBorder="1" applyAlignment="1">
      <alignment horizontal="center"/>
    </xf>
    <xf numFmtId="0" fontId="6" fillId="0" borderId="0" xfId="36" applyBorder="1" applyAlignment="1">
      <alignment vertical="center" wrapText="1"/>
    </xf>
    <xf numFmtId="2" fontId="6" fillId="0" borderId="0" xfId="36" applyNumberFormat="1" applyBorder="1"/>
    <xf numFmtId="0" fontId="6" fillId="0" borderId="1" xfId="36" applyBorder="1" applyAlignment="1">
      <alignment horizontal="center"/>
    </xf>
    <xf numFmtId="0" fontId="6" fillId="0" borderId="0" xfId="36" applyAlignment="1">
      <alignment horizontal="center"/>
    </xf>
    <xf numFmtId="49" fontId="6" fillId="0" borderId="1" xfId="36" applyNumberFormat="1" applyBorder="1" applyAlignment="1">
      <alignment horizontal="center"/>
    </xf>
    <xf numFmtId="4" fontId="6" fillId="0" borderId="1" xfId="36" applyNumberFormat="1" applyBorder="1"/>
    <xf numFmtId="2" fontId="41" fillId="0" borderId="1" xfId="37" applyNumberFormat="1" applyFont="1" applyBorder="1"/>
    <xf numFmtId="0" fontId="41" fillId="0" borderId="0" xfId="36" applyFont="1"/>
    <xf numFmtId="43" fontId="11" fillId="0" borderId="0" xfId="25" applyNumberFormat="1"/>
    <xf numFmtId="165" fontId="0" fillId="0" borderId="0" xfId="0" applyNumberFormat="1" applyAlignment="1">
      <alignment vertical="center"/>
    </xf>
    <xf numFmtId="0" fontId="5" fillId="0" borderId="8" xfId="25" applyFont="1" applyBorder="1"/>
    <xf numFmtId="165" fontId="13" fillId="3" borderId="1" xfId="3" applyNumberFormat="1" applyFont="1" applyFill="1" applyBorder="1" applyAlignment="1">
      <alignment horizontal="center" vertical="center"/>
    </xf>
    <xf numFmtId="13" fontId="13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/>
    <xf numFmtId="2" fontId="18" fillId="0" borderId="1" xfId="0" applyNumberFormat="1" applyFont="1" applyBorder="1" applyAlignment="1">
      <alignment horizontal="right" vertical="center"/>
    </xf>
    <xf numFmtId="43" fontId="18" fillId="0" borderId="1" xfId="0" applyNumberFormat="1" applyFont="1" applyFill="1" applyBorder="1" applyAlignment="1">
      <alignment horizontal="center" vertical="center"/>
    </xf>
    <xf numFmtId="0" fontId="12" fillId="0" borderId="8" xfId="4" applyBorder="1" applyAlignment="1">
      <alignment horizontal="center"/>
    </xf>
    <xf numFmtId="170" fontId="0" fillId="0" borderId="10" xfId="5" applyNumberFormat="1" applyFont="1" applyBorder="1" applyAlignment="1">
      <alignment horizontal="center"/>
    </xf>
    <xf numFmtId="165" fontId="0" fillId="0" borderId="10" xfId="3" applyFont="1" applyBorder="1" applyAlignment="1">
      <alignment horizontal="center"/>
    </xf>
    <xf numFmtId="0" fontId="4" fillId="0" borderId="1" xfId="36" applyFont="1" applyBorder="1" applyAlignment="1">
      <alignment horizontal="center"/>
    </xf>
    <xf numFmtId="49" fontId="4" fillId="0" borderId="1" xfId="36" applyNumberFormat="1" applyFont="1" applyBorder="1" applyAlignment="1">
      <alignment horizontal="center"/>
    </xf>
    <xf numFmtId="165" fontId="18" fillId="0" borderId="1" xfId="3" applyNumberFormat="1" applyFont="1" applyBorder="1" applyAlignment="1">
      <alignment horizontal="center" vertical="center"/>
    </xf>
    <xf numFmtId="174" fontId="18" fillId="0" borderId="0" xfId="3" applyNumberFormat="1" applyFont="1" applyFill="1" applyAlignment="1">
      <alignment vertical="center"/>
    </xf>
    <xf numFmtId="0" fontId="3" fillId="0" borderId="1" xfId="36" applyFont="1" applyBorder="1" applyAlignment="1">
      <alignment horizontal="center"/>
    </xf>
    <xf numFmtId="0" fontId="6" fillId="0" borderId="1" xfId="36" applyBorder="1" applyAlignment="1">
      <alignment horizontal="center"/>
    </xf>
    <xf numFmtId="0" fontId="5" fillId="0" borderId="1" xfId="36" applyFont="1" applyBorder="1" applyAlignment="1">
      <alignment horizontal="center"/>
    </xf>
    <xf numFmtId="0" fontId="2" fillId="0" borderId="1" xfId="36" applyFont="1" applyBorder="1" applyAlignment="1">
      <alignment horizontal="center"/>
    </xf>
    <xf numFmtId="0" fontId="1" fillId="0" borderId="1" xfId="36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65" fontId="15" fillId="0" borderId="14" xfId="3" applyFont="1" applyBorder="1" applyAlignment="1">
      <alignment horizontal="left" vertical="center"/>
    </xf>
    <xf numFmtId="165" fontId="15" fillId="0" borderId="9" xfId="3" applyFont="1" applyBorder="1" applyAlignment="1">
      <alignment horizontal="left" vertical="center"/>
    </xf>
    <xf numFmtId="0" fontId="29" fillId="8" borderId="25" xfId="0" applyFont="1" applyFill="1" applyBorder="1" applyAlignment="1">
      <alignment horizontal="center" vertical="center"/>
    </xf>
    <xf numFmtId="0" fontId="29" fillId="8" borderId="26" xfId="0" applyFont="1" applyFill="1" applyBorder="1" applyAlignment="1">
      <alignment horizontal="center" vertical="center"/>
    </xf>
    <xf numFmtId="0" fontId="29" fillId="8" borderId="27" xfId="0" applyFont="1" applyFill="1" applyBorder="1" applyAlignment="1">
      <alignment horizontal="center" vertical="center"/>
    </xf>
    <xf numFmtId="0" fontId="19" fillId="8" borderId="44" xfId="0" applyFont="1" applyFill="1" applyBorder="1" applyAlignment="1">
      <alignment horizontal="center" vertical="center"/>
    </xf>
    <xf numFmtId="0" fontId="19" fillId="8" borderId="42" xfId="0" applyFont="1" applyFill="1" applyBorder="1" applyAlignment="1">
      <alignment horizontal="center" vertical="center"/>
    </xf>
    <xf numFmtId="0" fontId="19" fillId="8" borderId="45" xfId="0" applyFont="1" applyFill="1" applyBorder="1" applyAlignment="1">
      <alignment horizontal="center" vertical="center"/>
    </xf>
    <xf numFmtId="165" fontId="15" fillId="0" borderId="5" xfId="3" applyFont="1" applyBorder="1" applyAlignment="1">
      <alignment horizontal="center" vertical="center"/>
    </xf>
    <xf numFmtId="165" fontId="15" fillId="0" borderId="6" xfId="3" applyFont="1" applyBorder="1" applyAlignment="1">
      <alignment horizontal="center" vertical="center"/>
    </xf>
    <xf numFmtId="165" fontId="15" fillId="0" borderId="43" xfId="3" applyFont="1" applyBorder="1" applyAlignment="1">
      <alignment horizontal="center" vertical="center"/>
    </xf>
    <xf numFmtId="165" fontId="16" fillId="8" borderId="5" xfId="3" applyFont="1" applyFill="1" applyBorder="1" applyAlignment="1">
      <alignment horizontal="center" vertical="center"/>
    </xf>
    <xf numFmtId="165" fontId="16" fillId="8" borderId="6" xfId="3" applyFont="1" applyFill="1" applyBorder="1" applyAlignment="1">
      <alignment horizontal="center" vertical="center"/>
    </xf>
    <xf numFmtId="165" fontId="16" fillId="8" borderId="7" xfId="3" applyFont="1" applyFill="1" applyBorder="1" applyAlignment="1">
      <alignment horizontal="center" vertical="center"/>
    </xf>
    <xf numFmtId="0" fontId="29" fillId="8" borderId="21" xfId="0" applyFont="1" applyFill="1" applyBorder="1" applyAlignment="1">
      <alignment horizontal="center" vertical="center"/>
    </xf>
    <xf numFmtId="0" fontId="29" fillId="8" borderId="22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10" borderId="19" xfId="0" applyFont="1" applyFill="1" applyBorder="1" applyAlignment="1">
      <alignment horizontal="center"/>
    </xf>
    <xf numFmtId="0" fontId="29" fillId="10" borderId="46" xfId="0" applyFont="1" applyFill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9" fontId="19" fillId="0" borderId="21" xfId="2" applyFont="1" applyBorder="1" applyAlignment="1">
      <alignment horizontal="center"/>
    </xf>
    <xf numFmtId="9" fontId="19" fillId="0" borderId="22" xfId="2" applyFont="1" applyBorder="1" applyAlignment="1">
      <alignment horizontal="center"/>
    </xf>
    <xf numFmtId="9" fontId="19" fillId="0" borderId="12" xfId="2" applyFont="1" applyBorder="1" applyAlignment="1">
      <alignment horizontal="center"/>
    </xf>
    <xf numFmtId="0" fontId="16" fillId="10" borderId="25" xfId="0" applyFont="1" applyFill="1" applyBorder="1" applyAlignment="1">
      <alignment horizontal="center" vertical="center"/>
    </xf>
    <xf numFmtId="0" fontId="16" fillId="10" borderId="26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0" fontId="16" fillId="10" borderId="6" xfId="0" applyFont="1" applyFill="1" applyBorder="1" applyAlignment="1">
      <alignment horizontal="center" vertical="center"/>
    </xf>
    <xf numFmtId="0" fontId="41" fillId="0" borderId="8" xfId="4" applyFont="1" applyBorder="1" applyAlignment="1">
      <alignment horizontal="center"/>
    </xf>
    <xf numFmtId="0" fontId="41" fillId="0" borderId="10" xfId="4" applyFont="1" applyBorder="1" applyAlignment="1">
      <alignment horizontal="center"/>
    </xf>
    <xf numFmtId="0" fontId="4" fillId="0" borderId="1" xfId="36" applyFont="1" applyBorder="1" applyAlignment="1">
      <alignment horizontal="center"/>
    </xf>
    <xf numFmtId="0" fontId="6" fillId="0" borderId="1" xfId="36" applyBorder="1" applyAlignment="1">
      <alignment horizontal="center"/>
    </xf>
    <xf numFmtId="0" fontId="5" fillId="0" borderId="1" xfId="36" applyFont="1" applyBorder="1" applyAlignment="1">
      <alignment horizontal="center"/>
    </xf>
    <xf numFmtId="0" fontId="41" fillId="0" borderId="1" xfId="36" applyFont="1" applyFill="1" applyBorder="1" applyAlignment="1">
      <alignment horizontal="right"/>
    </xf>
  </cellXfs>
  <cellStyles count="38">
    <cellStyle name="Hiperlink" xfId="1" builtinId="8"/>
    <cellStyle name="Moeda 2" xfId="6"/>
    <cellStyle name="Moeda 3" xfId="7"/>
    <cellStyle name="Normal" xfId="0" builtinId="0"/>
    <cellStyle name="Normal 10" xfId="26"/>
    <cellStyle name="Normal 11" xfId="27"/>
    <cellStyle name="Normal 12" xfId="30"/>
    <cellStyle name="Normal 13" xfId="32"/>
    <cellStyle name="Normal 14" xfId="34"/>
    <cellStyle name="Normal 15" xfId="36"/>
    <cellStyle name="Normal 2" xfId="8"/>
    <cellStyle name="Normal 2 2" xfId="9"/>
    <cellStyle name="Normal 2 3" xfId="25"/>
    <cellStyle name="Normal 3" xfId="10"/>
    <cellStyle name="Normal 4" xfId="11"/>
    <cellStyle name="Normal 5" xfId="12"/>
    <cellStyle name="Normal 6" xfId="4"/>
    <cellStyle name="Normal 7" xfId="13"/>
    <cellStyle name="Normal 8" xfId="14"/>
    <cellStyle name="Normal 9" xfId="15"/>
    <cellStyle name="Porcentagem" xfId="2" builtinId="5"/>
    <cellStyle name="Porcentagem 2" xfId="16"/>
    <cellStyle name="Porcentagem 3" xfId="17"/>
    <cellStyle name="Separador de milhares 10" xfId="28"/>
    <cellStyle name="Separador de milhares 11" xfId="31"/>
    <cellStyle name="Separador de milhares 12" xfId="33"/>
    <cellStyle name="Separador de milhares 13" xfId="35"/>
    <cellStyle name="Separador de milhares 14" xfId="37"/>
    <cellStyle name="Separador de milhares 2" xfId="18"/>
    <cellStyle name="Separador de milhares 3" xfId="19"/>
    <cellStyle name="Separador de milhares 4" xfId="20"/>
    <cellStyle name="Separador de milhares 5" xfId="5"/>
    <cellStyle name="Separador de milhares 6" xfId="21"/>
    <cellStyle name="Separador de milhares 7" xfId="22"/>
    <cellStyle name="Separador de milhares 8" xfId="23"/>
    <cellStyle name="Separador de milhares 9" xfId="29"/>
    <cellStyle name="Vírgula" xfId="3" builtinId="3"/>
    <cellStyle name="Vírgula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7"/>
  <sheetViews>
    <sheetView tabSelected="1" topLeftCell="A263" zoomScaleSheetLayoutView="100" workbookViewId="0"/>
  </sheetViews>
  <sheetFormatPr defaultColWidth="9.140625" defaultRowHeight="12.75" x14ac:dyDescent="0.2"/>
  <cols>
    <col min="1" max="1" width="44.5703125" style="8" customWidth="1"/>
    <col min="2" max="2" width="16" style="8" bestFit="1" customWidth="1"/>
    <col min="3" max="3" width="11.85546875" style="8" customWidth="1"/>
    <col min="4" max="4" width="14.7109375" style="9" customWidth="1"/>
    <col min="5" max="5" width="15.42578125" style="9" customWidth="1"/>
    <col min="6" max="6" width="13.28515625" style="9" customWidth="1"/>
    <col min="7" max="7" width="28.140625" style="9" customWidth="1"/>
    <col min="8" max="8" width="9.140625" style="8"/>
    <col min="9" max="9" width="14.5703125" style="8" customWidth="1"/>
    <col min="10" max="10" width="13.42578125" style="8" customWidth="1"/>
    <col min="11" max="16384" width="9.140625" style="8"/>
  </cols>
  <sheetData>
    <row r="1" spans="1:7" ht="15.75" x14ac:dyDescent="0.2">
      <c r="A1" s="279" t="s">
        <v>189</v>
      </c>
    </row>
    <row r="2" spans="1:7" ht="15.75" x14ac:dyDescent="0.2">
      <c r="A2" s="319" t="s">
        <v>248</v>
      </c>
    </row>
    <row r="3" spans="1:7" ht="15.75" x14ac:dyDescent="0.2">
      <c r="A3" s="319" t="s">
        <v>249</v>
      </c>
    </row>
    <row r="4" spans="1:7" ht="15.75" x14ac:dyDescent="0.2">
      <c r="A4" s="319" t="s">
        <v>251</v>
      </c>
    </row>
    <row r="5" spans="1:7" s="3" customFormat="1" ht="15.6" customHeight="1" x14ac:dyDescent="0.2">
      <c r="A5" s="279" t="s">
        <v>246</v>
      </c>
      <c r="C5" s="138"/>
      <c r="D5" s="138"/>
      <c r="E5" s="138"/>
      <c r="F5" s="138"/>
      <c r="G5" s="5"/>
    </row>
    <row r="6" spans="1:7" s="3" customFormat="1" ht="15.6" customHeight="1" x14ac:dyDescent="0.2">
      <c r="A6" s="280" t="s">
        <v>250</v>
      </c>
      <c r="B6" s="138"/>
      <c r="C6" s="138"/>
      <c r="D6" s="138"/>
      <c r="E6" s="138"/>
      <c r="F6" s="138"/>
      <c r="G6" s="5"/>
    </row>
    <row r="7" spans="1:7" s="3" customFormat="1" ht="15.6" hidden="1" customHeight="1" x14ac:dyDescent="0.2">
      <c r="A7" s="137"/>
      <c r="B7" s="138"/>
      <c r="C7" s="138"/>
      <c r="D7" s="138"/>
      <c r="E7" s="138"/>
      <c r="F7" s="138"/>
      <c r="G7" s="5"/>
    </row>
    <row r="8" spans="1:7" s="3" customFormat="1" ht="15.6" hidden="1" customHeight="1" x14ac:dyDescent="0.2">
      <c r="A8" s="281" t="s">
        <v>256</v>
      </c>
      <c r="B8" s="138"/>
      <c r="C8" s="138"/>
      <c r="D8" s="138"/>
      <c r="E8" s="138"/>
      <c r="F8" s="138"/>
      <c r="G8" s="5"/>
    </row>
    <row r="9" spans="1:7" s="3" customFormat="1" ht="15.6" customHeight="1" x14ac:dyDescent="0.2">
      <c r="A9" s="319" t="s">
        <v>253</v>
      </c>
      <c r="B9" s="138"/>
      <c r="C9" s="138"/>
      <c r="D9" s="138"/>
      <c r="E9" s="138"/>
      <c r="F9" s="138"/>
      <c r="G9" s="5"/>
    </row>
    <row r="10" spans="1:7" s="3" customFormat="1" ht="16.5" customHeight="1" x14ac:dyDescent="0.2">
      <c r="A10" s="6"/>
      <c r="B10" s="4"/>
      <c r="C10" s="4"/>
      <c r="D10" s="5"/>
      <c r="E10" s="5"/>
      <c r="F10" s="5"/>
      <c r="G10" s="5"/>
    </row>
    <row r="11" spans="1:7" s="3" customFormat="1" ht="16.5" customHeight="1" thickBot="1" x14ac:dyDescent="0.25">
      <c r="A11" s="321" t="s">
        <v>353</v>
      </c>
      <c r="B11" s="4"/>
      <c r="C11" s="4"/>
      <c r="D11" s="5"/>
      <c r="E11" s="5"/>
      <c r="F11" s="5"/>
      <c r="G11" s="5"/>
    </row>
    <row r="12" spans="1:7" s="7" customFormat="1" ht="18" x14ac:dyDescent="0.2">
      <c r="A12" s="389" t="s">
        <v>344</v>
      </c>
      <c r="B12" s="390"/>
      <c r="C12" s="390"/>
      <c r="D12" s="390"/>
      <c r="E12" s="390"/>
      <c r="F12" s="391"/>
      <c r="G12" s="35"/>
    </row>
    <row r="13" spans="1:7" s="7" customFormat="1" ht="21.75" customHeight="1" x14ac:dyDescent="0.2">
      <c r="A13" s="392" t="s">
        <v>40</v>
      </c>
      <c r="B13" s="393"/>
      <c r="C13" s="393"/>
      <c r="D13" s="393"/>
      <c r="E13" s="393"/>
      <c r="F13" s="394"/>
      <c r="G13" s="35"/>
    </row>
    <row r="14" spans="1:7" s="3" customFormat="1" ht="10.9" customHeight="1" thickBot="1" x14ac:dyDescent="0.25">
      <c r="A14" s="150"/>
      <c r="B14" s="151"/>
      <c r="C14" s="151"/>
      <c r="D14" s="152"/>
      <c r="E14" s="152"/>
      <c r="F14" s="153"/>
      <c r="G14" s="5"/>
    </row>
    <row r="15" spans="1:7" s="3" customFormat="1" ht="15.75" customHeight="1" thickBot="1" x14ac:dyDescent="0.25">
      <c r="A15" s="398" t="s">
        <v>188</v>
      </c>
      <c r="B15" s="399"/>
      <c r="C15" s="399"/>
      <c r="D15" s="399"/>
      <c r="E15" s="399"/>
      <c r="F15" s="400"/>
      <c r="G15" s="5"/>
    </row>
    <row r="16" spans="1:7" s="3" customFormat="1" ht="15.75" customHeight="1" x14ac:dyDescent="0.2">
      <c r="A16" s="63" t="s">
        <v>187</v>
      </c>
      <c r="B16" s="39"/>
      <c r="C16" s="39"/>
      <c r="D16" s="256"/>
      <c r="E16" s="114" t="s">
        <v>35</v>
      </c>
      <c r="F16" s="40" t="s">
        <v>2</v>
      </c>
      <c r="G16" s="5"/>
    </row>
    <row r="17" spans="1:9" s="10" customFormat="1" ht="15.75" customHeight="1" x14ac:dyDescent="0.2">
      <c r="A17" s="124" t="str">
        <f>A54</f>
        <v>1. Mão-de-obra</v>
      </c>
      <c r="B17" s="125"/>
      <c r="C17" s="126"/>
      <c r="D17" s="126"/>
      <c r="E17" s="253">
        <f>+F146</f>
        <v>156.36849961223129</v>
      </c>
      <c r="F17" s="127">
        <f>IFERROR(E17/$E$37,0)</f>
        <v>0.1834375304886266</v>
      </c>
      <c r="G17" s="43"/>
    </row>
    <row r="18" spans="1:9" s="3" customFormat="1" ht="15.75" customHeight="1" x14ac:dyDescent="0.2">
      <c r="A18" s="48" t="str">
        <f>A56</f>
        <v>1.1. Coletor Turno Dia</v>
      </c>
      <c r="B18" s="44"/>
      <c r="C18" s="46"/>
      <c r="D18" s="46"/>
      <c r="E18" s="254">
        <f>F67</f>
        <v>57.218760009456815</v>
      </c>
      <c r="F18" s="57">
        <f>IFERROR(E18/$E$37,0)</f>
        <v>6.7123928795023949E-2</v>
      </c>
      <c r="G18" s="5"/>
    </row>
    <row r="19" spans="1:9" s="3" customFormat="1" ht="15.75" hidden="1" customHeight="1" x14ac:dyDescent="0.2">
      <c r="A19" s="48" t="str">
        <f>A69</f>
        <v>1.2. Coletor Turno Noite</v>
      </c>
      <c r="B19" s="44"/>
      <c r="C19" s="46"/>
      <c r="D19" s="46"/>
      <c r="E19" s="254">
        <f>F86</f>
        <v>0</v>
      </c>
      <c r="F19" s="57">
        <f t="shared" ref="F19:F36" si="0">IFERROR(E19/$E$37,0)</f>
        <v>0</v>
      </c>
      <c r="G19" s="5"/>
    </row>
    <row r="20" spans="1:9" s="3" customFormat="1" ht="15.75" customHeight="1" x14ac:dyDescent="0.2">
      <c r="A20" s="48" t="str">
        <f>A88</f>
        <v>1.3. Motorista Turno do Dia</v>
      </c>
      <c r="B20" s="44"/>
      <c r="C20" s="46"/>
      <c r="D20" s="46"/>
      <c r="E20" s="254">
        <f>F101</f>
        <v>65.608969672704532</v>
      </c>
      <c r="F20" s="57">
        <f t="shared" si="0"/>
        <v>7.6966571940699974E-2</v>
      </c>
      <c r="G20" s="5"/>
    </row>
    <row r="21" spans="1:9" s="3" customFormat="1" ht="15.75" hidden="1" customHeight="1" x14ac:dyDescent="0.2">
      <c r="A21" s="48" t="str">
        <f>A104</f>
        <v>1.4. Encarregado/Supervisor</v>
      </c>
      <c r="B21" s="44"/>
      <c r="C21" s="46"/>
      <c r="D21" s="46"/>
      <c r="E21" s="254">
        <f>F123</f>
        <v>0</v>
      </c>
      <c r="F21" s="57">
        <f t="shared" si="0"/>
        <v>0</v>
      </c>
      <c r="G21" s="5"/>
    </row>
    <row r="22" spans="1:9" s="3" customFormat="1" ht="15.75" customHeight="1" x14ac:dyDescent="0.2">
      <c r="A22" s="48" t="str">
        <f>A125</f>
        <v>1.5. Vale Transporte</v>
      </c>
      <c r="B22" s="44"/>
      <c r="C22" s="46"/>
      <c r="D22" s="46"/>
      <c r="E22" s="254">
        <f>F131</f>
        <v>8.6147153846153852</v>
      </c>
      <c r="F22" s="57">
        <f t="shared" si="0"/>
        <v>1.0106013167198133E-2</v>
      </c>
      <c r="G22" s="5"/>
    </row>
    <row r="23" spans="1:9" s="3" customFormat="1" ht="15.75" customHeight="1" x14ac:dyDescent="0.2">
      <c r="A23" s="48" t="str">
        <f>A133</f>
        <v>1.6. Vale-refeição (diário)</v>
      </c>
      <c r="B23" s="44"/>
      <c r="C23" s="46"/>
      <c r="D23" s="46"/>
      <c r="E23" s="254">
        <f>F138</f>
        <v>23.686100000000003</v>
      </c>
      <c r="F23" s="57">
        <f t="shared" si="0"/>
        <v>2.778641287523613E-2</v>
      </c>
      <c r="G23" s="5"/>
      <c r="I23" s="5"/>
    </row>
    <row r="24" spans="1:9" s="3" customFormat="1" ht="15.75" customHeight="1" x14ac:dyDescent="0.2">
      <c r="A24" s="48" t="str">
        <f>A140</f>
        <v>1.7. Auxílio Alimentação (mensal)</v>
      </c>
      <c r="B24" s="44"/>
      <c r="C24" s="46"/>
      <c r="D24" s="46"/>
      <c r="E24" s="254">
        <f>F144</f>
        <v>1.2399545454545455</v>
      </c>
      <c r="F24" s="57">
        <f t="shared" si="0"/>
        <v>1.4546037104684073E-3</v>
      </c>
      <c r="G24" s="5"/>
      <c r="I24" s="5"/>
    </row>
    <row r="25" spans="1:9" s="10" customFormat="1" ht="15.75" customHeight="1" x14ac:dyDescent="0.2">
      <c r="A25" s="387" t="str">
        <f>A148</f>
        <v>2. Uniformes e Equipamentos de Proteção Individual</v>
      </c>
      <c r="B25" s="388"/>
      <c r="C25" s="388"/>
      <c r="D25" s="126"/>
      <c r="E25" s="253">
        <f>+F180</f>
        <v>5.6051136363636358</v>
      </c>
      <c r="F25" s="127">
        <f t="shared" si="0"/>
        <v>6.5754177223188333E-3</v>
      </c>
      <c r="G25" s="43"/>
      <c r="I25" s="43"/>
    </row>
    <row r="26" spans="1:9" s="10" customFormat="1" ht="15.75" customHeight="1" x14ac:dyDescent="0.2">
      <c r="A26" s="135" t="str">
        <f>A182</f>
        <v>3. Veículos e Equipamentos</v>
      </c>
      <c r="B26" s="136"/>
      <c r="C26" s="126"/>
      <c r="D26" s="126"/>
      <c r="E26" s="253">
        <f>+F262</f>
        <v>415.02863428050421</v>
      </c>
      <c r="F26" s="127">
        <f t="shared" si="0"/>
        <v>0.48687445325163148</v>
      </c>
      <c r="G26" s="43"/>
      <c r="I26" s="43"/>
    </row>
    <row r="27" spans="1:9" s="3" customFormat="1" ht="15.75" customHeight="1" x14ac:dyDescent="0.2">
      <c r="A27" s="64" t="str">
        <f>A184</f>
        <v xml:space="preserve">3.1. Veículo Coletor </v>
      </c>
      <c r="B27" s="45"/>
      <c r="C27" s="46"/>
      <c r="D27" s="46"/>
      <c r="E27" s="254">
        <f>SUM(E28:E33)</f>
        <v>415.02863428050421</v>
      </c>
      <c r="F27" s="143">
        <f t="shared" si="0"/>
        <v>0.48687445325163148</v>
      </c>
      <c r="G27" s="5"/>
    </row>
    <row r="28" spans="1:9" s="3" customFormat="1" ht="15.75" customHeight="1" x14ac:dyDescent="0.2">
      <c r="A28" s="64" t="str">
        <f>A186</f>
        <v>3.1.1. Depreciação</v>
      </c>
      <c r="B28" s="45"/>
      <c r="C28" s="46"/>
      <c r="D28" s="46"/>
      <c r="E28" s="254">
        <f>F201</f>
        <v>20.19877278125</v>
      </c>
      <c r="F28" s="143">
        <f t="shared" si="0"/>
        <v>2.369539265953002E-2</v>
      </c>
      <c r="G28" s="5"/>
    </row>
    <row r="29" spans="1:9" s="3" customFormat="1" ht="15.75" customHeight="1" x14ac:dyDescent="0.2">
      <c r="A29" s="64" t="str">
        <f>A203</f>
        <v>3.1.2. Remuneração do Capital</v>
      </c>
      <c r="B29" s="45"/>
      <c r="C29" s="46"/>
      <c r="D29" s="46"/>
      <c r="E29" s="254">
        <f>F217</f>
        <v>10.452163431072442</v>
      </c>
      <c r="F29" s="143">
        <f t="shared" si="0"/>
        <v>1.2261542783962895E-2</v>
      </c>
      <c r="G29" s="5"/>
    </row>
    <row r="30" spans="1:9" s="3" customFormat="1" ht="15.75" customHeight="1" x14ac:dyDescent="0.2">
      <c r="A30" s="64" t="str">
        <f>A219</f>
        <v>3.1.3. Impostos e Seguros</v>
      </c>
      <c r="B30" s="45"/>
      <c r="C30" s="46"/>
      <c r="D30" s="46"/>
      <c r="E30" s="254">
        <f>F225</f>
        <v>5.743338068181818</v>
      </c>
      <c r="F30" s="143">
        <f t="shared" si="0"/>
        <v>6.7375702561654751E-3</v>
      </c>
      <c r="G30" s="5"/>
    </row>
    <row r="31" spans="1:9" s="3" customFormat="1" ht="15.75" customHeight="1" x14ac:dyDescent="0.2">
      <c r="A31" s="64" t="str">
        <f>A227</f>
        <v>3.1.4. Consumos</v>
      </c>
      <c r="B31" s="45"/>
      <c r="C31" s="46"/>
      <c r="D31" s="46"/>
      <c r="E31" s="254">
        <f>F245</f>
        <v>201.18135999999996</v>
      </c>
      <c r="F31" s="143">
        <f t="shared" si="0"/>
        <v>0.23600796803870258</v>
      </c>
      <c r="G31" s="5"/>
    </row>
    <row r="32" spans="1:9" s="3" customFormat="1" ht="15.75" customHeight="1" x14ac:dyDescent="0.2">
      <c r="A32" s="64" t="str">
        <f>A247</f>
        <v>3.1.5. Manutenção</v>
      </c>
      <c r="B32" s="45"/>
      <c r="C32" s="46"/>
      <c r="D32" s="46"/>
      <c r="E32" s="254">
        <f>F250</f>
        <v>133.19999999999999</v>
      </c>
      <c r="F32" s="143">
        <f t="shared" si="0"/>
        <v>0.15625832006879359</v>
      </c>
      <c r="G32" s="5"/>
    </row>
    <row r="33" spans="1:8" s="3" customFormat="1" ht="15.75" customHeight="1" x14ac:dyDescent="0.2">
      <c r="A33" s="64" t="str">
        <f>A252</f>
        <v>3.1.6. Pneus</v>
      </c>
      <c r="B33" s="45"/>
      <c r="C33" s="46"/>
      <c r="D33" s="46"/>
      <c r="E33" s="254">
        <f>F259</f>
        <v>44.253</v>
      </c>
      <c r="F33" s="143">
        <f t="shared" si="0"/>
        <v>5.1913659444476901E-2</v>
      </c>
      <c r="G33" s="5"/>
    </row>
    <row r="34" spans="1:8" s="10" customFormat="1" ht="15.75" customHeight="1" x14ac:dyDescent="0.2">
      <c r="A34" s="135" t="str">
        <f>A264</f>
        <v xml:space="preserve">4. Custo dos resíduos de saúde </v>
      </c>
      <c r="B34" s="136"/>
      <c r="C34" s="126"/>
      <c r="D34" s="126"/>
      <c r="E34" s="253">
        <f>+F274</f>
        <v>105</v>
      </c>
      <c r="F34" s="127">
        <f t="shared" si="0"/>
        <v>0.1231766036578328</v>
      </c>
      <c r="G34" s="43"/>
    </row>
    <row r="35" spans="1:8" s="10" customFormat="1" ht="15.75" customHeight="1" x14ac:dyDescent="0.2">
      <c r="A35" s="135" t="str">
        <f>A276</f>
        <v xml:space="preserve">5. Monitoramento da frota  </v>
      </c>
      <c r="B35" s="136"/>
      <c r="C35" s="126"/>
      <c r="D35" s="126"/>
      <c r="E35" s="253">
        <f>+F285</f>
        <v>0</v>
      </c>
      <c r="F35" s="127">
        <f t="shared" si="0"/>
        <v>0</v>
      </c>
      <c r="G35" s="43"/>
    </row>
    <row r="36" spans="1:8" s="10" customFormat="1" ht="15.75" customHeight="1" thickBot="1" x14ac:dyDescent="0.25">
      <c r="A36" s="135" t="str">
        <f>A289</f>
        <v>5. Benefícios e Despesas Indiretas - BDI</v>
      </c>
      <c r="B36" s="136"/>
      <c r="C36" s="126"/>
      <c r="D36" s="126"/>
      <c r="E36" s="255">
        <f>+F295</f>
        <v>170.43236165752188</v>
      </c>
      <c r="F36" s="127">
        <f t="shared" si="0"/>
        <v>0.19993599487959038</v>
      </c>
      <c r="G36" s="43"/>
    </row>
    <row r="37" spans="1:8" s="3" customFormat="1" ht="15.75" customHeight="1" thickBot="1" x14ac:dyDescent="0.25">
      <c r="A37" s="41" t="s">
        <v>222</v>
      </c>
      <c r="B37" s="42"/>
      <c r="C37" s="25"/>
      <c r="D37" s="25"/>
      <c r="E37" s="113">
        <f>E17+E25+E26+E34+E35+E36</f>
        <v>852.43460918662095</v>
      </c>
      <c r="F37" s="142">
        <f>F17+F25+F26+F34+F35+F36</f>
        <v>1.0000000000000002</v>
      </c>
      <c r="G37" s="5"/>
      <c r="H37" s="363"/>
    </row>
    <row r="39" spans="1:8" ht="13.5" thickBot="1" x14ac:dyDescent="0.25"/>
    <row r="40" spans="1:8" s="3" customFormat="1" ht="15" customHeight="1" thickBot="1" x14ac:dyDescent="0.25">
      <c r="A40" s="398" t="s">
        <v>90</v>
      </c>
      <c r="B40" s="399"/>
      <c r="C40" s="399"/>
      <c r="D40" s="399"/>
      <c r="E40" s="400"/>
      <c r="F40" s="9"/>
      <c r="G40" s="5"/>
    </row>
    <row r="41" spans="1:8" s="3" customFormat="1" ht="15" customHeight="1" thickBot="1" x14ac:dyDescent="0.25">
      <c r="A41" s="395" t="s">
        <v>36</v>
      </c>
      <c r="B41" s="396"/>
      <c r="C41" s="396"/>
      <c r="D41" s="397"/>
      <c r="E41" s="47" t="s">
        <v>37</v>
      </c>
      <c r="F41" s="9"/>
      <c r="G41" s="5"/>
    </row>
    <row r="42" spans="1:8" s="3" customFormat="1" ht="15" customHeight="1" x14ac:dyDescent="0.2">
      <c r="A42" s="72" t="str">
        <f>+A56</f>
        <v>1.1. Coletor Turno Dia</v>
      </c>
      <c r="B42" s="73"/>
      <c r="C42" s="73"/>
      <c r="D42" s="74"/>
      <c r="E42" s="75">
        <f>C66</f>
        <v>1</v>
      </c>
      <c r="F42" s="9"/>
      <c r="G42" s="5"/>
    </row>
    <row r="43" spans="1:8" s="3" customFormat="1" ht="15" hidden="1" customHeight="1" x14ac:dyDescent="0.2">
      <c r="A43" s="66" t="str">
        <f>+A69</f>
        <v>1.2. Coletor Turno Noite</v>
      </c>
      <c r="B43" s="65"/>
      <c r="C43" s="65"/>
      <c r="D43" s="76"/>
      <c r="E43" s="69">
        <f>C85</f>
        <v>0</v>
      </c>
      <c r="F43" s="9"/>
      <c r="G43" s="5"/>
    </row>
    <row r="44" spans="1:8" s="3" customFormat="1" ht="15" customHeight="1" x14ac:dyDescent="0.2">
      <c r="A44" s="66" t="str">
        <f>+A88</f>
        <v>1.3. Motorista Turno do Dia</v>
      </c>
      <c r="B44" s="65"/>
      <c r="C44" s="65"/>
      <c r="D44" s="76"/>
      <c r="E44" s="69">
        <f>C100</f>
        <v>1</v>
      </c>
      <c r="F44" s="9"/>
      <c r="G44" s="5"/>
    </row>
    <row r="45" spans="1:8" s="3" customFormat="1" ht="15" hidden="1" customHeight="1" x14ac:dyDescent="0.2">
      <c r="A45" s="66" t="str">
        <f>+A104</f>
        <v>1.4. Encarregado/Supervisor</v>
      </c>
      <c r="B45" s="65"/>
      <c r="C45" s="65"/>
      <c r="D45" s="76"/>
      <c r="E45" s="69">
        <f>C122</f>
        <v>0</v>
      </c>
      <c r="F45" s="9"/>
      <c r="G45" s="5"/>
    </row>
    <row r="46" spans="1:8" s="3" customFormat="1" ht="15" customHeight="1" thickBot="1" x14ac:dyDescent="0.25">
      <c r="A46" s="70" t="s">
        <v>55</v>
      </c>
      <c r="B46" s="71"/>
      <c r="C46" s="71"/>
      <c r="D46" s="77"/>
      <c r="E46" s="78">
        <f>SUM(E42:E45)</f>
        <v>2</v>
      </c>
      <c r="F46" s="9"/>
      <c r="G46" s="5"/>
    </row>
    <row r="47" spans="1:8" s="3" customFormat="1" ht="15" customHeight="1" thickBot="1" x14ac:dyDescent="0.25">
      <c r="A47" s="128"/>
      <c r="B47" s="129"/>
      <c r="C47" s="58"/>
      <c r="D47" s="58"/>
      <c r="E47" s="130"/>
      <c r="F47" s="9"/>
      <c r="G47" s="5"/>
    </row>
    <row r="48" spans="1:8" s="3" customFormat="1" ht="15" customHeight="1" x14ac:dyDescent="0.2">
      <c r="A48" s="385" t="s">
        <v>53</v>
      </c>
      <c r="B48" s="386"/>
      <c r="C48" s="386"/>
      <c r="D48" s="386"/>
      <c r="E48" s="47" t="s">
        <v>37</v>
      </c>
      <c r="F48" s="8"/>
      <c r="G48" s="5"/>
    </row>
    <row r="49" spans="1:7" s="3" customFormat="1" ht="15" customHeight="1" thickBot="1" x14ac:dyDescent="0.25">
      <c r="A49" s="131" t="str">
        <f>+A184</f>
        <v xml:space="preserve">3.1. Veículo Coletor </v>
      </c>
      <c r="B49" s="132"/>
      <c r="C49" s="132"/>
      <c r="D49" s="133"/>
      <c r="E49" s="134">
        <f>C200</f>
        <v>1</v>
      </c>
      <c r="F49" s="8"/>
      <c r="G49" s="5"/>
    </row>
    <row r="50" spans="1:7" s="3" customFormat="1" ht="15" hidden="1" customHeight="1" x14ac:dyDescent="0.2">
      <c r="A50" s="58"/>
      <c r="B50" s="58"/>
      <c r="C50" s="58"/>
      <c r="D50" s="53"/>
      <c r="E50" s="246"/>
      <c r="F50" s="8"/>
      <c r="G50" s="5"/>
    </row>
    <row r="51" spans="1:7" s="3" customFormat="1" ht="13.5" thickBot="1" x14ac:dyDescent="0.25">
      <c r="A51" s="58"/>
      <c r="B51" s="58"/>
      <c r="C51" s="58"/>
      <c r="D51" s="53"/>
      <c r="E51" s="67"/>
      <c r="F51" s="8"/>
      <c r="G51" s="5"/>
    </row>
    <row r="52" spans="1:7" s="10" customFormat="1" ht="15.75" customHeight="1" thickBot="1" x14ac:dyDescent="0.25">
      <c r="A52" s="257" t="s">
        <v>183</v>
      </c>
      <c r="B52" s="297">
        <f>Horários!F16/Horários!F17</f>
        <v>1.7045454545454544E-2</v>
      </c>
      <c r="C52" s="34"/>
      <c r="D52" s="33"/>
      <c r="E52" s="155"/>
      <c r="G52" s="43"/>
    </row>
    <row r="53" spans="1:7" s="3" customFormat="1" ht="15.75" customHeight="1" x14ac:dyDescent="0.2">
      <c r="A53" s="58"/>
      <c r="B53" s="58"/>
      <c r="C53" s="58"/>
      <c r="D53" s="53"/>
      <c r="E53" s="67"/>
      <c r="F53" s="8"/>
      <c r="G53" s="5"/>
    </row>
    <row r="54" spans="1:7" ht="13.15" customHeight="1" x14ac:dyDescent="0.2">
      <c r="A54" s="10" t="s">
        <v>44</v>
      </c>
    </row>
    <row r="55" spans="1:7" ht="11.25" customHeight="1" x14ac:dyDescent="0.2"/>
    <row r="56" spans="1:7" ht="13.9" customHeight="1" thickBot="1" x14ac:dyDescent="0.25">
      <c r="A56" s="8" t="s">
        <v>93</v>
      </c>
    </row>
    <row r="57" spans="1:7" ht="13.9" customHeight="1" thickBot="1" x14ac:dyDescent="0.25">
      <c r="A57" s="59" t="s">
        <v>60</v>
      </c>
      <c r="B57" s="60" t="s">
        <v>61</v>
      </c>
      <c r="C57" s="60" t="s">
        <v>37</v>
      </c>
      <c r="D57" s="61" t="s">
        <v>218</v>
      </c>
      <c r="E57" s="61" t="s">
        <v>62</v>
      </c>
      <c r="F57" s="62" t="s">
        <v>63</v>
      </c>
    </row>
    <row r="58" spans="1:7" ht="13.15" customHeight="1" x14ac:dyDescent="0.2">
      <c r="A58" s="12" t="s">
        <v>202</v>
      </c>
      <c r="B58" s="13" t="s">
        <v>8</v>
      </c>
      <c r="C58" s="13">
        <v>1</v>
      </c>
      <c r="D58" s="296">
        <v>1397.27</v>
      </c>
      <c r="E58" s="14">
        <f>C58*D58</f>
        <v>1397.27</v>
      </c>
    </row>
    <row r="59" spans="1:7" hidden="1" x14ac:dyDescent="0.2">
      <c r="A59" s="15" t="s">
        <v>31</v>
      </c>
      <c r="B59" s="16" t="s">
        <v>0</v>
      </c>
      <c r="C59" s="87"/>
      <c r="D59" s="17">
        <f>D58/220*2</f>
        <v>12.702454545454545</v>
      </c>
      <c r="E59" s="17">
        <f>C59*D59</f>
        <v>0</v>
      </c>
      <c r="G59" s="9" t="s">
        <v>233</v>
      </c>
    </row>
    <row r="60" spans="1:7" ht="13.15" hidden="1" customHeight="1" x14ac:dyDescent="0.2">
      <c r="A60" s="15" t="s">
        <v>32</v>
      </c>
      <c r="B60" s="16" t="s">
        <v>0</v>
      </c>
      <c r="C60" s="87"/>
      <c r="D60" s="17">
        <f>D58/220*1.5</f>
        <v>9.5268409090909092</v>
      </c>
      <c r="E60" s="17">
        <f>C60*D60</f>
        <v>0</v>
      </c>
      <c r="G60" s="9" t="s">
        <v>235</v>
      </c>
    </row>
    <row r="61" spans="1:7" ht="13.15" hidden="1" customHeight="1" x14ac:dyDescent="0.2">
      <c r="A61" s="15" t="s">
        <v>206</v>
      </c>
      <c r="B61" s="16" t="s">
        <v>30</v>
      </c>
      <c r="D61" s="17">
        <f>63/302*(SUM(E59:E60))</f>
        <v>0</v>
      </c>
      <c r="E61" s="17">
        <f>D61</f>
        <v>0</v>
      </c>
      <c r="G61" s="9" t="s">
        <v>205</v>
      </c>
    </row>
    <row r="62" spans="1:7" x14ac:dyDescent="0.2">
      <c r="A62" s="15" t="s">
        <v>1</v>
      </c>
      <c r="B62" s="16" t="s">
        <v>2</v>
      </c>
      <c r="C62" s="16">
        <v>40</v>
      </c>
      <c r="D62" s="82">
        <f>SUM(E58:E61)</f>
        <v>1397.27</v>
      </c>
      <c r="E62" s="17">
        <f>C62*D62/100</f>
        <v>558.90800000000002</v>
      </c>
    </row>
    <row r="63" spans="1:7" x14ac:dyDescent="0.2">
      <c r="A63" s="115" t="s">
        <v>3</v>
      </c>
      <c r="B63" s="116"/>
      <c r="C63" s="116"/>
      <c r="D63" s="117"/>
      <c r="E63" s="118">
        <f>SUM(E58:E62)</f>
        <v>1956.1779999999999</v>
      </c>
    </row>
    <row r="64" spans="1:7" x14ac:dyDescent="0.2">
      <c r="A64" s="15" t="s">
        <v>4</v>
      </c>
      <c r="B64" s="16" t="s">
        <v>2</v>
      </c>
      <c r="C64" s="140">
        <f>'3.Encargos Sociais'!$C$38*100</f>
        <v>71.60166000000001</v>
      </c>
      <c r="D64" s="17">
        <f>E63</f>
        <v>1956.1779999999999</v>
      </c>
      <c r="E64" s="17">
        <f>D64*C64/100</f>
        <v>1400.6559205548003</v>
      </c>
    </row>
    <row r="65" spans="1:7" x14ac:dyDescent="0.2">
      <c r="A65" s="115" t="s">
        <v>69</v>
      </c>
      <c r="B65" s="116"/>
      <c r="C65" s="116"/>
      <c r="D65" s="117"/>
      <c r="E65" s="118">
        <f>E63+E64</f>
        <v>3356.8339205548</v>
      </c>
    </row>
    <row r="66" spans="1:7" ht="13.5" thickBot="1" x14ac:dyDescent="0.25">
      <c r="A66" s="15" t="s">
        <v>5</v>
      </c>
      <c r="B66" s="16" t="s">
        <v>6</v>
      </c>
      <c r="C66" s="85">
        <v>1</v>
      </c>
      <c r="D66" s="17">
        <f>E65</f>
        <v>3356.8339205548</v>
      </c>
      <c r="E66" s="17">
        <f>C66*D66</f>
        <v>3356.8339205548</v>
      </c>
      <c r="G66" s="5"/>
    </row>
    <row r="67" spans="1:7" ht="13.9" customHeight="1" thickBot="1" x14ac:dyDescent="0.25">
      <c r="A67" s="6" t="s">
        <v>354</v>
      </c>
      <c r="D67" s="122" t="s">
        <v>182</v>
      </c>
      <c r="E67" s="298">
        <f>$B$52</f>
        <v>1.7045454545454544E-2</v>
      </c>
      <c r="F67" s="123">
        <f>E66*E67</f>
        <v>57.218760009456815</v>
      </c>
      <c r="G67" s="5"/>
    </row>
    <row r="68" spans="1:7" ht="11.25" customHeight="1" x14ac:dyDescent="0.2">
      <c r="A68" s="6"/>
    </row>
    <row r="69" spans="1:7" ht="13.5" hidden="1" thickBot="1" x14ac:dyDescent="0.25">
      <c r="A69" s="8" t="s">
        <v>84</v>
      </c>
    </row>
    <row r="70" spans="1:7" ht="13.5" hidden="1" thickBot="1" x14ac:dyDescent="0.25">
      <c r="A70" s="59" t="s">
        <v>60</v>
      </c>
      <c r="B70" s="60" t="s">
        <v>61</v>
      </c>
      <c r="C70" s="60" t="s">
        <v>37</v>
      </c>
      <c r="D70" s="61" t="s">
        <v>218</v>
      </c>
      <c r="E70" s="61" t="s">
        <v>62</v>
      </c>
      <c r="F70" s="62" t="s">
        <v>63</v>
      </c>
    </row>
    <row r="71" spans="1:7" hidden="1" x14ac:dyDescent="0.2">
      <c r="A71" s="12" t="s">
        <v>202</v>
      </c>
      <c r="B71" s="13" t="s">
        <v>8</v>
      </c>
      <c r="C71" s="13">
        <v>1</v>
      </c>
      <c r="D71" s="14">
        <f>D58</f>
        <v>1397.27</v>
      </c>
      <c r="E71" s="14">
        <f>C71*D71</f>
        <v>1397.27</v>
      </c>
    </row>
    <row r="72" spans="1:7" hidden="1" x14ac:dyDescent="0.2">
      <c r="A72" s="15" t="s">
        <v>7</v>
      </c>
      <c r="B72" s="16" t="s">
        <v>91</v>
      </c>
      <c r="C72" s="87"/>
      <c r="D72" s="17"/>
      <c r="E72" s="17"/>
    </row>
    <row r="73" spans="1:7" hidden="1" x14ac:dyDescent="0.2">
      <c r="A73" s="15"/>
      <c r="B73" s="16" t="s">
        <v>95</v>
      </c>
      <c r="C73" s="119">
        <f>C72*8/7</f>
        <v>0</v>
      </c>
      <c r="D73" s="17">
        <f>D71/220*0.2</f>
        <v>1.2702454545454547</v>
      </c>
      <c r="E73" s="17">
        <f>C72*D73</f>
        <v>0</v>
      </c>
    </row>
    <row r="74" spans="1:7" hidden="1" x14ac:dyDescent="0.2">
      <c r="A74" s="15" t="s">
        <v>31</v>
      </c>
      <c r="B74" s="16" t="s">
        <v>0</v>
      </c>
      <c r="C74" s="87"/>
      <c r="D74" s="17">
        <f>D71/220*2</f>
        <v>12.702454545454545</v>
      </c>
      <c r="E74" s="17">
        <f>C74*D74</f>
        <v>0</v>
      </c>
      <c r="G74" s="9" t="s">
        <v>233</v>
      </c>
    </row>
    <row r="75" spans="1:7" hidden="1" x14ac:dyDescent="0.2">
      <c r="A75" s="15" t="s">
        <v>92</v>
      </c>
      <c r="B75" s="16" t="s">
        <v>91</v>
      </c>
      <c r="C75" s="87"/>
      <c r="D75" s="17"/>
      <c r="E75" s="17"/>
      <c r="G75" s="9" t="s">
        <v>234</v>
      </c>
    </row>
    <row r="76" spans="1:7" hidden="1" x14ac:dyDescent="0.2">
      <c r="A76" s="15"/>
      <c r="B76" s="16" t="s">
        <v>95</v>
      </c>
      <c r="C76" s="119">
        <f>C75*8/7</f>
        <v>0</v>
      </c>
      <c r="D76" s="17">
        <f>D71/220*2*1.2</f>
        <v>15.242945454545453</v>
      </c>
      <c r="E76" s="17">
        <f>C76*D76</f>
        <v>0</v>
      </c>
      <c r="G76" s="9" t="s">
        <v>234</v>
      </c>
    </row>
    <row r="77" spans="1:7" hidden="1" x14ac:dyDescent="0.2">
      <c r="A77" s="15" t="s">
        <v>32</v>
      </c>
      <c r="B77" s="16" t="s">
        <v>0</v>
      </c>
      <c r="C77" s="87"/>
      <c r="D77" s="17">
        <f>D71/220*1.5</f>
        <v>9.5268409090909092</v>
      </c>
      <c r="E77" s="17">
        <f>C77*D77</f>
        <v>0</v>
      </c>
      <c r="G77" s="9" t="s">
        <v>235</v>
      </c>
    </row>
    <row r="78" spans="1:7" hidden="1" x14ac:dyDescent="0.2">
      <c r="A78" s="15" t="s">
        <v>204</v>
      </c>
      <c r="B78" s="16" t="s">
        <v>91</v>
      </c>
      <c r="C78" s="87"/>
      <c r="D78" s="17"/>
      <c r="E78" s="17"/>
      <c r="G78" s="9" t="s">
        <v>236</v>
      </c>
    </row>
    <row r="79" spans="1:7" hidden="1" x14ac:dyDescent="0.2">
      <c r="A79" s="15"/>
      <c r="B79" s="16" t="s">
        <v>95</v>
      </c>
      <c r="C79" s="17">
        <f>C78*8/7</f>
        <v>0</v>
      </c>
      <c r="D79" s="17">
        <f>D71/220*1.5*1.2</f>
        <v>11.43220909090909</v>
      </c>
      <c r="E79" s="17">
        <f>C79*D79</f>
        <v>0</v>
      </c>
      <c r="G79" s="9" t="s">
        <v>236</v>
      </c>
    </row>
    <row r="80" spans="1:7" ht="13.15" hidden="1" customHeight="1" x14ac:dyDescent="0.2">
      <c r="A80" s="15" t="s">
        <v>206</v>
      </c>
      <c r="B80" s="16" t="s">
        <v>30</v>
      </c>
      <c r="D80" s="17">
        <f>63/302*(SUM(E74:E79))</f>
        <v>0</v>
      </c>
      <c r="E80" s="17">
        <f>D80</f>
        <v>0</v>
      </c>
      <c r="G80" s="9" t="s">
        <v>205</v>
      </c>
    </row>
    <row r="81" spans="1:7" hidden="1" x14ac:dyDescent="0.2">
      <c r="A81" s="15" t="s">
        <v>1</v>
      </c>
      <c r="B81" s="16" t="s">
        <v>2</v>
      </c>
      <c r="C81" s="16">
        <f>+C62</f>
        <v>40</v>
      </c>
      <c r="D81" s="82">
        <f>SUM(E71:E80)</f>
        <v>1397.27</v>
      </c>
      <c r="E81" s="17">
        <f>C81*D81/100</f>
        <v>558.90800000000002</v>
      </c>
    </row>
    <row r="82" spans="1:7" hidden="1" x14ac:dyDescent="0.2">
      <c r="A82" s="115" t="s">
        <v>3</v>
      </c>
      <c r="B82" s="116"/>
      <c r="C82" s="116"/>
      <c r="D82" s="117"/>
      <c r="E82" s="118">
        <f>SUM(E71:E81)</f>
        <v>1956.1779999999999</v>
      </c>
    </row>
    <row r="83" spans="1:7" hidden="1" x14ac:dyDescent="0.2">
      <c r="A83" s="15" t="s">
        <v>4</v>
      </c>
      <c r="B83" s="16" t="s">
        <v>2</v>
      </c>
      <c r="C83" s="140">
        <f>'3.Encargos Sociais'!$C$38*100</f>
        <v>71.60166000000001</v>
      </c>
      <c r="D83" s="17">
        <f>E82</f>
        <v>1956.1779999999999</v>
      </c>
      <c r="E83" s="17">
        <f>D83*C83/100</f>
        <v>1400.6559205548003</v>
      </c>
    </row>
    <row r="84" spans="1:7" hidden="1" x14ac:dyDescent="0.2">
      <c r="A84" s="115" t="s">
        <v>69</v>
      </c>
      <c r="B84" s="116"/>
      <c r="C84" s="116"/>
      <c r="D84" s="117"/>
      <c r="E84" s="118">
        <f>E82+E83</f>
        <v>3356.8339205548</v>
      </c>
    </row>
    <row r="85" spans="1:7" ht="13.5" hidden="1" thickBot="1" x14ac:dyDescent="0.25">
      <c r="A85" s="15" t="s">
        <v>5</v>
      </c>
      <c r="B85" s="16" t="s">
        <v>6</v>
      </c>
      <c r="C85" s="85"/>
      <c r="D85" s="17">
        <f>E84</f>
        <v>3356.8339205548</v>
      </c>
      <c r="E85" s="17">
        <f>C85*D85</f>
        <v>0</v>
      </c>
    </row>
    <row r="86" spans="1:7" ht="13.5" hidden="1" thickBot="1" x14ac:dyDescent="0.25">
      <c r="D86" s="122" t="s">
        <v>182</v>
      </c>
      <c r="E86" s="49">
        <f>$B$52</f>
        <v>1.7045454545454544E-2</v>
      </c>
      <c r="F86" s="123">
        <f>E85*E86</f>
        <v>0</v>
      </c>
    </row>
    <row r="87" spans="1:7" ht="11.25" customHeight="1" x14ac:dyDescent="0.2"/>
    <row r="88" spans="1:7" ht="13.5" thickBot="1" x14ac:dyDescent="0.25">
      <c r="A88" s="8" t="s">
        <v>94</v>
      </c>
    </row>
    <row r="89" spans="1:7" s="11" customFormat="1" ht="13.15" customHeight="1" thickBot="1" x14ac:dyDescent="0.25">
      <c r="A89" s="59" t="s">
        <v>60</v>
      </c>
      <c r="B89" s="60" t="s">
        <v>61</v>
      </c>
      <c r="C89" s="60" t="s">
        <v>37</v>
      </c>
      <c r="D89" s="61" t="s">
        <v>218</v>
      </c>
      <c r="E89" s="61" t="s">
        <v>62</v>
      </c>
      <c r="F89" s="62" t="s">
        <v>63</v>
      </c>
      <c r="G89" s="9"/>
    </row>
    <row r="90" spans="1:7" x14ac:dyDescent="0.2">
      <c r="A90" s="284" t="s">
        <v>254</v>
      </c>
      <c r="B90" s="13" t="s">
        <v>8</v>
      </c>
      <c r="C90" s="13">
        <v>1</v>
      </c>
      <c r="D90" s="296">
        <v>1803.02</v>
      </c>
      <c r="E90" s="14">
        <f>C90*D90</f>
        <v>1803.02</v>
      </c>
    </row>
    <row r="91" spans="1:7" x14ac:dyDescent="0.2">
      <c r="A91" s="284" t="s">
        <v>255</v>
      </c>
      <c r="B91" s="13" t="s">
        <v>8</v>
      </c>
      <c r="C91" s="13">
        <v>1</v>
      </c>
      <c r="D91" s="86">
        <v>1100</v>
      </c>
      <c r="E91" s="14"/>
    </row>
    <row r="92" spans="1:7" hidden="1" x14ac:dyDescent="0.2">
      <c r="A92" s="15" t="s">
        <v>31</v>
      </c>
      <c r="B92" s="16" t="s">
        <v>0</v>
      </c>
      <c r="C92" s="87"/>
      <c r="D92" s="17">
        <f>D90/220*2</f>
        <v>16.391090909090909</v>
      </c>
      <c r="E92" s="17">
        <f>C92*D92</f>
        <v>0</v>
      </c>
      <c r="G92" s="9" t="s">
        <v>233</v>
      </c>
    </row>
    <row r="93" spans="1:7" hidden="1" x14ac:dyDescent="0.2">
      <c r="A93" s="15" t="s">
        <v>32</v>
      </c>
      <c r="B93" s="16" t="s">
        <v>0</v>
      </c>
      <c r="C93" s="87"/>
      <c r="D93" s="17">
        <f>D90/220*1.5</f>
        <v>12.293318181818183</v>
      </c>
      <c r="E93" s="17">
        <f>C93*D93</f>
        <v>0</v>
      </c>
      <c r="G93" s="9" t="s">
        <v>235</v>
      </c>
    </row>
    <row r="94" spans="1:7" ht="13.15" hidden="1" customHeight="1" x14ac:dyDescent="0.2">
      <c r="A94" s="15" t="s">
        <v>206</v>
      </c>
      <c r="B94" s="16" t="s">
        <v>30</v>
      </c>
      <c r="D94" s="17">
        <f>63/302*(SUM(E92:E93))</f>
        <v>0</v>
      </c>
      <c r="E94" s="17">
        <f>D94</f>
        <v>0</v>
      </c>
      <c r="G94" s="9" t="s">
        <v>205</v>
      </c>
    </row>
    <row r="95" spans="1:7" x14ac:dyDescent="0.2">
      <c r="A95" s="15" t="s">
        <v>203</v>
      </c>
      <c r="B95" s="16"/>
      <c r="C95" s="89">
        <v>1</v>
      </c>
      <c r="D95" s="17"/>
      <c r="E95" s="17"/>
    </row>
    <row r="96" spans="1:7" x14ac:dyDescent="0.2">
      <c r="A96" s="15" t="s">
        <v>1</v>
      </c>
      <c r="B96" s="16" t="s">
        <v>2</v>
      </c>
      <c r="C96" s="85">
        <v>40</v>
      </c>
      <c r="D96" s="82">
        <f>IF(C95=2,SUM(E90:E94),IF(C95=1,(SUM(E90:E94))*D91/D90,0))</f>
        <v>1100</v>
      </c>
      <c r="E96" s="17">
        <f>C96*D96/100</f>
        <v>440</v>
      </c>
    </row>
    <row r="97" spans="1:7" s="10" customFormat="1" x14ac:dyDescent="0.2">
      <c r="A97" s="102" t="s">
        <v>3</v>
      </c>
      <c r="B97" s="116"/>
      <c r="C97" s="116"/>
      <c r="D97" s="117"/>
      <c r="E97" s="104">
        <f>SUM(E90:E96)</f>
        <v>2243.02</v>
      </c>
      <c r="F97" s="43"/>
      <c r="G97" s="43"/>
    </row>
    <row r="98" spans="1:7" x14ac:dyDescent="0.2">
      <c r="A98" s="15" t="s">
        <v>4</v>
      </c>
      <c r="B98" s="16" t="s">
        <v>2</v>
      </c>
      <c r="C98" s="140">
        <f>'3.Encargos Sociais'!$C$38*100</f>
        <v>71.60166000000001</v>
      </c>
      <c r="D98" s="17">
        <f>E97</f>
        <v>2243.02</v>
      </c>
      <c r="E98" s="17">
        <f>D98*C98/100</f>
        <v>1606.0395541320001</v>
      </c>
    </row>
    <row r="99" spans="1:7" s="10" customFormat="1" x14ac:dyDescent="0.2">
      <c r="A99" s="102" t="s">
        <v>237</v>
      </c>
      <c r="B99" s="263"/>
      <c r="C99" s="263"/>
      <c r="D99" s="264"/>
      <c r="E99" s="104">
        <f>E97+E98</f>
        <v>3849.0595541319999</v>
      </c>
      <c r="F99" s="43"/>
      <c r="G99" s="43"/>
    </row>
    <row r="100" spans="1:7" ht="13.5" thickBot="1" x14ac:dyDescent="0.25">
      <c r="A100" s="15" t="s">
        <v>5</v>
      </c>
      <c r="B100" s="16" t="s">
        <v>6</v>
      </c>
      <c r="C100" s="85">
        <v>1</v>
      </c>
      <c r="D100" s="17">
        <f>E99</f>
        <v>3849.0595541319999</v>
      </c>
      <c r="E100" s="17">
        <f>C100*D100</f>
        <v>3849.0595541319999</v>
      </c>
    </row>
    <row r="101" spans="1:7" ht="13.5" thickBot="1" x14ac:dyDescent="0.25">
      <c r="A101" s="6" t="s">
        <v>350</v>
      </c>
      <c r="D101" s="122" t="s">
        <v>182</v>
      </c>
      <c r="E101" s="298">
        <f>B52</f>
        <v>1.7045454545454544E-2</v>
      </c>
      <c r="F101" s="123">
        <f>E100*E101</f>
        <v>65.608969672704532</v>
      </c>
    </row>
    <row r="102" spans="1:7" ht="11.25" customHeight="1" x14ac:dyDescent="0.2">
      <c r="A102" s="6"/>
    </row>
    <row r="103" spans="1:7" ht="11.25" customHeight="1" x14ac:dyDescent="0.2">
      <c r="A103" s="6"/>
    </row>
    <row r="104" spans="1:7" ht="13.5" hidden="1" thickBot="1" x14ac:dyDescent="0.25">
      <c r="A104" s="6" t="s">
        <v>293</v>
      </c>
    </row>
    <row r="105" spans="1:7" ht="13.5" hidden="1" thickBot="1" x14ac:dyDescent="0.25">
      <c r="A105" s="59" t="s">
        <v>60</v>
      </c>
      <c r="B105" s="60" t="s">
        <v>61</v>
      </c>
      <c r="C105" s="60" t="s">
        <v>37</v>
      </c>
      <c r="D105" s="61" t="s">
        <v>218</v>
      </c>
      <c r="E105" s="61" t="s">
        <v>62</v>
      </c>
      <c r="F105" s="62" t="s">
        <v>63</v>
      </c>
    </row>
    <row r="106" spans="1:7" hidden="1" x14ac:dyDescent="0.2">
      <c r="A106" s="284" t="s">
        <v>254</v>
      </c>
      <c r="B106" s="13" t="s">
        <v>8</v>
      </c>
      <c r="C106" s="13">
        <v>1</v>
      </c>
      <c r="D106" s="14">
        <v>0</v>
      </c>
      <c r="E106" s="14">
        <f>C106*D106</f>
        <v>0</v>
      </c>
    </row>
    <row r="107" spans="1:7" hidden="1" x14ac:dyDescent="0.2">
      <c r="A107" s="284" t="s">
        <v>255</v>
      </c>
      <c r="B107" s="13" t="s">
        <v>8</v>
      </c>
      <c r="C107" s="13">
        <v>1</v>
      </c>
      <c r="D107" s="17">
        <f>D91</f>
        <v>1100</v>
      </c>
      <c r="E107" s="17"/>
    </row>
    <row r="108" spans="1:7" hidden="1" x14ac:dyDescent="0.2">
      <c r="A108" s="15" t="s">
        <v>7</v>
      </c>
      <c r="B108" s="16" t="s">
        <v>91</v>
      </c>
      <c r="C108" s="87"/>
      <c r="D108" s="15"/>
      <c r="E108" s="15"/>
    </row>
    <row r="109" spans="1:7" hidden="1" x14ac:dyDescent="0.2">
      <c r="A109" s="15"/>
      <c r="B109" s="16" t="s">
        <v>95</v>
      </c>
      <c r="C109" s="17">
        <f>C108*8/7</f>
        <v>0</v>
      </c>
      <c r="D109" s="17">
        <f>D106/220*0.2</f>
        <v>0</v>
      </c>
      <c r="E109" s="17">
        <f>C108*D109</f>
        <v>0</v>
      </c>
    </row>
    <row r="110" spans="1:7" hidden="1" x14ac:dyDescent="0.2">
      <c r="A110" s="15" t="s">
        <v>31</v>
      </c>
      <c r="B110" s="16" t="s">
        <v>0</v>
      </c>
      <c r="C110" s="87"/>
      <c r="D110" s="17">
        <f>D106/220*2</f>
        <v>0</v>
      </c>
      <c r="E110" s="17">
        <f>C110*D110</f>
        <v>0</v>
      </c>
      <c r="G110" s="9" t="s">
        <v>233</v>
      </c>
    </row>
    <row r="111" spans="1:7" hidden="1" x14ac:dyDescent="0.2">
      <c r="A111" s="15" t="s">
        <v>92</v>
      </c>
      <c r="B111" s="16" t="s">
        <v>91</v>
      </c>
      <c r="C111" s="87"/>
      <c r="D111" s="17"/>
      <c r="E111" s="17"/>
      <c r="G111" s="9" t="s">
        <v>234</v>
      </c>
    </row>
    <row r="112" spans="1:7" hidden="1" x14ac:dyDescent="0.2">
      <c r="A112" s="15"/>
      <c r="B112" s="16" t="s">
        <v>95</v>
      </c>
      <c r="C112" s="17">
        <f>C111*8/7</f>
        <v>0</v>
      </c>
      <c r="D112" s="17">
        <f>D106/220*2*1.2</f>
        <v>0</v>
      </c>
      <c r="E112" s="17">
        <f>C112*D112</f>
        <v>0</v>
      </c>
      <c r="G112" s="9" t="s">
        <v>234</v>
      </c>
    </row>
    <row r="113" spans="1:7" hidden="1" x14ac:dyDescent="0.2">
      <c r="A113" s="15" t="s">
        <v>32</v>
      </c>
      <c r="B113" s="16" t="s">
        <v>0</v>
      </c>
      <c r="C113" s="87"/>
      <c r="D113" s="17">
        <f>D106/220*1.5</f>
        <v>0</v>
      </c>
      <c r="E113" s="17">
        <f>C113*D113</f>
        <v>0</v>
      </c>
      <c r="G113" s="9" t="s">
        <v>235</v>
      </c>
    </row>
    <row r="114" spans="1:7" hidden="1" x14ac:dyDescent="0.2">
      <c r="A114" s="15" t="s">
        <v>204</v>
      </c>
      <c r="B114" s="16" t="s">
        <v>91</v>
      </c>
      <c r="C114" s="87"/>
      <c r="D114" s="17"/>
      <c r="E114" s="17"/>
      <c r="G114" s="9" t="s">
        <v>236</v>
      </c>
    </row>
    <row r="115" spans="1:7" hidden="1" x14ac:dyDescent="0.2">
      <c r="A115" s="15"/>
      <c r="B115" s="16" t="s">
        <v>95</v>
      </c>
      <c r="C115" s="17">
        <f>C114*8/7</f>
        <v>0</v>
      </c>
      <c r="D115" s="17">
        <f>D106/220*1.5*1.2</f>
        <v>0</v>
      </c>
      <c r="E115" s="17">
        <f>C115*D115</f>
        <v>0</v>
      </c>
      <c r="G115" s="9" t="s">
        <v>236</v>
      </c>
    </row>
    <row r="116" spans="1:7" ht="13.15" hidden="1" customHeight="1" x14ac:dyDescent="0.2">
      <c r="A116" s="15" t="s">
        <v>206</v>
      </c>
      <c r="B116" s="16" t="s">
        <v>30</v>
      </c>
      <c r="D116" s="17">
        <f>63/302*(SUM(E110:E115))</f>
        <v>0</v>
      </c>
      <c r="E116" s="17">
        <f>D116</f>
        <v>0</v>
      </c>
      <c r="G116" s="9" t="s">
        <v>205</v>
      </c>
    </row>
    <row r="117" spans="1:7" hidden="1" x14ac:dyDescent="0.2">
      <c r="A117" s="15" t="s">
        <v>203</v>
      </c>
      <c r="B117" s="16"/>
      <c r="C117" s="89"/>
      <c r="D117" s="17"/>
      <c r="E117" s="17"/>
    </row>
    <row r="118" spans="1:7" hidden="1" x14ac:dyDescent="0.2">
      <c r="A118" s="15" t="s">
        <v>1</v>
      </c>
      <c r="B118" s="16" t="s">
        <v>2</v>
      </c>
      <c r="C118" s="82">
        <f>+C96</f>
        <v>40</v>
      </c>
      <c r="D118" s="82">
        <f>IF(C117=2,SUM(E106:E116),IF(C117=1,SUM(E106:E116)*D107/D106,0))</f>
        <v>0</v>
      </c>
      <c r="E118" s="17">
        <f>C118*D118/100</f>
        <v>0</v>
      </c>
    </row>
    <row r="119" spans="1:7" s="10" customFormat="1" hidden="1" x14ac:dyDescent="0.2">
      <c r="A119" s="115" t="s">
        <v>3</v>
      </c>
      <c r="B119" s="116"/>
      <c r="C119" s="116"/>
      <c r="D119" s="117"/>
      <c r="E119" s="118">
        <f>SUM(E106:E118)</f>
        <v>0</v>
      </c>
      <c r="F119" s="43"/>
      <c r="G119" s="43"/>
    </row>
    <row r="120" spans="1:7" hidden="1" x14ac:dyDescent="0.2">
      <c r="A120" s="15" t="s">
        <v>4</v>
      </c>
      <c r="B120" s="16" t="s">
        <v>2</v>
      </c>
      <c r="C120" s="140">
        <f>'3.Encargos Sociais'!$C$38*100</f>
        <v>71.60166000000001</v>
      </c>
      <c r="D120" s="17">
        <f>E119</f>
        <v>0</v>
      </c>
      <c r="E120" s="17">
        <f>D120*C120/100</f>
        <v>0</v>
      </c>
    </row>
    <row r="121" spans="1:7" s="10" customFormat="1" hidden="1" x14ac:dyDescent="0.2">
      <c r="A121" s="115" t="s">
        <v>237</v>
      </c>
      <c r="B121" s="116"/>
      <c r="C121" s="116"/>
      <c r="D121" s="117"/>
      <c r="E121" s="118">
        <f>E119+E120</f>
        <v>0</v>
      </c>
      <c r="F121" s="43"/>
      <c r="G121" s="43"/>
    </row>
    <row r="122" spans="1:7" ht="13.5" hidden="1" thickBot="1" x14ac:dyDescent="0.25">
      <c r="A122" s="15" t="s">
        <v>5</v>
      </c>
      <c r="B122" s="16" t="s">
        <v>6</v>
      </c>
      <c r="C122" s="85">
        <v>0</v>
      </c>
      <c r="D122" s="17">
        <f>E121</f>
        <v>0</v>
      </c>
      <c r="E122" s="17">
        <f>C122*D122</f>
        <v>0</v>
      </c>
    </row>
    <row r="123" spans="1:7" ht="13.5" hidden="1" thickBot="1" x14ac:dyDescent="0.25">
      <c r="A123" s="10" t="s">
        <v>301</v>
      </c>
      <c r="D123" s="122" t="s">
        <v>182</v>
      </c>
      <c r="E123" s="298">
        <f>3/44</f>
        <v>6.8181818181818177E-2</v>
      </c>
      <c r="F123" s="123">
        <f>E122*E123</f>
        <v>0</v>
      </c>
    </row>
    <row r="124" spans="1:7" ht="11.25" hidden="1" customHeight="1" x14ac:dyDescent="0.2">
      <c r="G124" s="8"/>
    </row>
    <row r="125" spans="1:7" ht="13.5" thickBot="1" x14ac:dyDescent="0.25">
      <c r="A125" s="8" t="s">
        <v>96</v>
      </c>
      <c r="B125" s="92"/>
      <c r="D125" s="8"/>
      <c r="E125" s="318"/>
      <c r="G125" s="8"/>
    </row>
    <row r="126" spans="1:7" ht="13.5" thickBot="1" x14ac:dyDescent="0.25">
      <c r="A126" s="59" t="s">
        <v>60</v>
      </c>
      <c r="B126" s="60" t="s">
        <v>61</v>
      </c>
      <c r="C126" s="60" t="s">
        <v>37</v>
      </c>
      <c r="D126" s="61" t="s">
        <v>218</v>
      </c>
      <c r="E126" s="61" t="s">
        <v>62</v>
      </c>
      <c r="F126" s="62" t="s">
        <v>63</v>
      </c>
      <c r="G126" s="8"/>
    </row>
    <row r="127" spans="1:7" x14ac:dyDescent="0.2">
      <c r="A127" s="15" t="s">
        <v>85</v>
      </c>
      <c r="B127" s="16" t="s">
        <v>30</v>
      </c>
      <c r="C127" s="93">
        <v>1</v>
      </c>
      <c r="D127" s="91">
        <v>4</v>
      </c>
      <c r="E127" s="17"/>
      <c r="G127" s="8"/>
    </row>
    <row r="128" spans="1:7" x14ac:dyDescent="0.2">
      <c r="A128" s="15" t="s">
        <v>86</v>
      </c>
      <c r="B128" s="16" t="s">
        <v>87</v>
      </c>
      <c r="C128" s="90">
        <v>1</v>
      </c>
      <c r="D128" s="17"/>
      <c r="E128" s="17"/>
      <c r="G128" s="8"/>
    </row>
    <row r="129" spans="1:7" x14ac:dyDescent="0.2">
      <c r="A129" s="15" t="s">
        <v>70</v>
      </c>
      <c r="B129" s="16" t="s">
        <v>9</v>
      </c>
      <c r="C129" s="36">
        <f>$C$128*2*(C66+C85)</f>
        <v>2</v>
      </c>
      <c r="D129" s="14">
        <f>IFERROR((($C$128*2*$D$127)-(E58*0.06*C128/26))/($C$128*2),"-")</f>
        <v>2.3877653846153848</v>
      </c>
      <c r="E129" s="17">
        <f>IFERROR(C129*D129,"-")</f>
        <v>4.7755307692307696</v>
      </c>
      <c r="G129" s="8"/>
    </row>
    <row r="130" spans="1:7" ht="13.5" thickBot="1" x14ac:dyDescent="0.25">
      <c r="A130" s="12" t="s">
        <v>41</v>
      </c>
      <c r="B130" s="13" t="s">
        <v>9</v>
      </c>
      <c r="C130" s="36">
        <f>$C$128*2*(C100)</f>
        <v>2</v>
      </c>
      <c r="D130" s="14">
        <f>IFERROR((($C$128*2*$D$127)-(E90*0.06*C128/26))/($C$128*2),"-")</f>
        <v>1.9195923076923078</v>
      </c>
      <c r="E130" s="14">
        <f>IFERROR(C130*D130,"-")</f>
        <v>3.8391846153846156</v>
      </c>
      <c r="G130" s="8"/>
    </row>
    <row r="131" spans="1:7" ht="13.5" thickBot="1" x14ac:dyDescent="0.25">
      <c r="F131" s="21">
        <f>SUM(E129:E130)</f>
        <v>8.6147153846153852</v>
      </c>
      <c r="G131" s="8"/>
    </row>
    <row r="132" spans="1:7" ht="11.25" customHeight="1" x14ac:dyDescent="0.2">
      <c r="G132" s="8"/>
    </row>
    <row r="133" spans="1:7" ht="13.5" thickBot="1" x14ac:dyDescent="0.25">
      <c r="A133" s="8" t="s">
        <v>109</v>
      </c>
      <c r="F133" s="22"/>
      <c r="G133" s="8"/>
    </row>
    <row r="134" spans="1:7" ht="13.5" thickBot="1" x14ac:dyDescent="0.25">
      <c r="A134" s="59" t="s">
        <v>60</v>
      </c>
      <c r="B134" s="60" t="s">
        <v>61</v>
      </c>
      <c r="C134" s="60" t="s">
        <v>37</v>
      </c>
      <c r="D134" s="61" t="s">
        <v>218</v>
      </c>
      <c r="E134" s="61" t="s">
        <v>62</v>
      </c>
      <c r="F134" s="62" t="s">
        <v>63</v>
      </c>
      <c r="G134" s="8"/>
    </row>
    <row r="135" spans="1:7" x14ac:dyDescent="0.2">
      <c r="A135" s="15" t="str">
        <f>+A129</f>
        <v>Coletor</v>
      </c>
      <c r="B135" s="16" t="s">
        <v>10</v>
      </c>
      <c r="C135" s="101">
        <f>C128*(E42+E43)</f>
        <v>1</v>
      </c>
      <c r="D135" s="365">
        <f>17.41*0.81</f>
        <v>14.102100000000002</v>
      </c>
      <c r="E135" s="49">
        <f>C135*D135</f>
        <v>14.102100000000002</v>
      </c>
      <c r="F135" s="22"/>
      <c r="G135" s="8"/>
    </row>
    <row r="136" spans="1:7" ht="13.5" thickBot="1" x14ac:dyDescent="0.25">
      <c r="A136" s="15" t="str">
        <f>+A130</f>
        <v>Motorista</v>
      </c>
      <c r="B136" s="16" t="s">
        <v>10</v>
      </c>
      <c r="C136" s="101">
        <f>C128*(E43+E44)</f>
        <v>1</v>
      </c>
      <c r="D136" s="365">
        <f>11.98*0.8</f>
        <v>9.5840000000000014</v>
      </c>
      <c r="E136" s="49">
        <f>C136*D136</f>
        <v>9.5840000000000014</v>
      </c>
      <c r="F136" s="22"/>
      <c r="G136" s="8"/>
    </row>
    <row r="137" spans="1:7" ht="13.5" hidden="1" thickBot="1" x14ac:dyDescent="0.25">
      <c r="A137" s="314"/>
      <c r="B137" s="16"/>
      <c r="C137" s="101"/>
      <c r="D137" s="94"/>
      <c r="E137" s="49">
        <f>C137*D137</f>
        <v>0</v>
      </c>
      <c r="F137" s="22"/>
      <c r="G137" s="8"/>
    </row>
    <row r="138" spans="1:7" ht="13.5" thickBot="1" x14ac:dyDescent="0.25">
      <c r="D138" s="122" t="s">
        <v>182</v>
      </c>
      <c r="E138" s="298">
        <v>1</v>
      </c>
      <c r="F138" s="21">
        <f>(E135*E138)+(E136*E138)</f>
        <v>23.686100000000003</v>
      </c>
      <c r="G138" s="8"/>
    </row>
    <row r="139" spans="1:7" x14ac:dyDescent="0.2">
      <c r="G139" s="8"/>
    </row>
    <row r="140" spans="1:7" ht="13.5" thickBot="1" x14ac:dyDescent="0.25">
      <c r="A140" s="8" t="s">
        <v>110</v>
      </c>
      <c r="F140" s="22"/>
      <c r="G140" s="8"/>
    </row>
    <row r="141" spans="1:7" ht="13.5" thickBot="1" x14ac:dyDescent="0.25">
      <c r="A141" s="59" t="s">
        <v>60</v>
      </c>
      <c r="B141" s="60" t="s">
        <v>61</v>
      </c>
      <c r="C141" s="60" t="s">
        <v>37</v>
      </c>
      <c r="D141" s="61" t="s">
        <v>218</v>
      </c>
      <c r="E141" s="61" t="s">
        <v>62</v>
      </c>
      <c r="F141" s="62" t="s">
        <v>63</v>
      </c>
      <c r="G141" s="8"/>
    </row>
    <row r="142" spans="1:7" hidden="1" x14ac:dyDescent="0.2">
      <c r="A142" s="15" t="str">
        <f>+A135</f>
        <v>Coletor</v>
      </c>
      <c r="B142" s="16" t="s">
        <v>10</v>
      </c>
      <c r="C142" s="101">
        <f>E42+E43</f>
        <v>1</v>
      </c>
      <c r="D142" s="94"/>
      <c r="E142" s="49">
        <f>C142*D142</f>
        <v>0</v>
      </c>
      <c r="F142" s="22"/>
      <c r="G142" s="8"/>
    </row>
    <row r="143" spans="1:7" ht="13.5" thickBot="1" x14ac:dyDescent="0.25">
      <c r="A143" s="15" t="str">
        <f>A136</f>
        <v>Motorista</v>
      </c>
      <c r="B143" s="16" t="s">
        <v>10</v>
      </c>
      <c r="C143" s="101">
        <v>1</v>
      </c>
      <c r="D143" s="365">
        <f>90.93*0.8</f>
        <v>72.744000000000014</v>
      </c>
      <c r="E143" s="49">
        <f>C143*D143</f>
        <v>72.744000000000014</v>
      </c>
      <c r="F143" s="22"/>
      <c r="G143" s="8"/>
    </row>
    <row r="144" spans="1:7" ht="13.5" thickBot="1" x14ac:dyDescent="0.25">
      <c r="D144" s="122" t="s">
        <v>182</v>
      </c>
      <c r="E144" s="298">
        <f>E101</f>
        <v>1.7045454545454544E-2</v>
      </c>
      <c r="F144" s="21">
        <f>SUM(E142:E143)*E144</f>
        <v>1.2399545454545455</v>
      </c>
      <c r="G144" s="8"/>
    </row>
    <row r="145" spans="1:7" ht="13.5" thickBot="1" x14ac:dyDescent="0.25">
      <c r="G145" s="8"/>
    </row>
    <row r="146" spans="1:7" ht="13.5" thickBot="1" x14ac:dyDescent="0.25">
      <c r="A146" s="23" t="s">
        <v>88</v>
      </c>
      <c r="B146" s="24"/>
      <c r="C146" s="24"/>
      <c r="D146" s="25"/>
      <c r="E146" s="26"/>
      <c r="F146" s="21">
        <f>F144+F138+F131+F123+F101+F86+F67</f>
        <v>156.36849961223129</v>
      </c>
      <c r="G146" s="8"/>
    </row>
    <row r="148" spans="1:7" x14ac:dyDescent="0.2">
      <c r="A148" s="10" t="s">
        <v>42</v>
      </c>
      <c r="G148" s="8"/>
    </row>
    <row r="149" spans="1:7" ht="11.25" customHeight="1" x14ac:dyDescent="0.2">
      <c r="G149" s="8"/>
    </row>
    <row r="150" spans="1:7" ht="13.9" customHeight="1" x14ac:dyDescent="0.2">
      <c r="A150" s="6" t="s">
        <v>326</v>
      </c>
      <c r="G150" s="8"/>
    </row>
    <row r="151" spans="1:7" ht="11.25" customHeight="1" thickBot="1" x14ac:dyDescent="0.25">
      <c r="G151" s="8"/>
    </row>
    <row r="152" spans="1:7" ht="27.75" customHeight="1" thickBot="1" x14ac:dyDescent="0.25">
      <c r="A152" s="59" t="s">
        <v>60</v>
      </c>
      <c r="B152" s="60" t="s">
        <v>61</v>
      </c>
      <c r="C152" s="265" t="s">
        <v>239</v>
      </c>
      <c r="D152" s="61" t="s">
        <v>218</v>
      </c>
      <c r="E152" s="61" t="s">
        <v>62</v>
      </c>
      <c r="F152" s="62" t="s">
        <v>63</v>
      </c>
      <c r="G152" s="8"/>
    </row>
    <row r="153" spans="1:7" x14ac:dyDescent="0.2">
      <c r="A153" s="368" t="s">
        <v>64</v>
      </c>
      <c r="B153" s="13" t="s">
        <v>10</v>
      </c>
      <c r="C153" s="313">
        <v>6</v>
      </c>
      <c r="D153" s="296">
        <v>110</v>
      </c>
      <c r="E153" s="14">
        <f>IFERROR(D153/C153,0)</f>
        <v>18.333333333333332</v>
      </c>
      <c r="G153" s="8"/>
    </row>
    <row r="154" spans="1:7" ht="13.15" customHeight="1" x14ac:dyDescent="0.2">
      <c r="A154" s="369" t="s">
        <v>27</v>
      </c>
      <c r="B154" s="16" t="s">
        <v>10</v>
      </c>
      <c r="C154" s="313">
        <v>4</v>
      </c>
      <c r="D154" s="312">
        <v>30</v>
      </c>
      <c r="E154" s="14">
        <f t="shared" ref="E154:E163" si="1">IFERROR(D154/C154,0)</f>
        <v>7.5</v>
      </c>
      <c r="G154" s="8"/>
    </row>
    <row r="155" spans="1:7" x14ac:dyDescent="0.2">
      <c r="A155" s="369" t="s">
        <v>320</v>
      </c>
      <c r="B155" s="16" t="s">
        <v>10</v>
      </c>
      <c r="C155" s="313">
        <v>4</v>
      </c>
      <c r="D155" s="312">
        <v>35</v>
      </c>
      <c r="E155" s="14">
        <f t="shared" si="1"/>
        <v>8.75</v>
      </c>
      <c r="G155" s="8"/>
    </row>
    <row r="156" spans="1:7" ht="13.15" customHeight="1" x14ac:dyDescent="0.2">
      <c r="A156" s="369" t="s">
        <v>29</v>
      </c>
      <c r="B156" s="16" t="s">
        <v>10</v>
      </c>
      <c r="C156" s="313">
        <v>6</v>
      </c>
      <c r="D156" s="312">
        <v>20</v>
      </c>
      <c r="E156" s="14">
        <f t="shared" si="1"/>
        <v>3.3333333333333335</v>
      </c>
      <c r="G156" s="8"/>
    </row>
    <row r="157" spans="1:7" ht="13.9" customHeight="1" x14ac:dyDescent="0.2">
      <c r="A157" s="369" t="s">
        <v>321</v>
      </c>
      <c r="B157" s="16" t="s">
        <v>45</v>
      </c>
      <c r="C157" s="313">
        <v>4</v>
      </c>
      <c r="D157" s="312">
        <v>50</v>
      </c>
      <c r="E157" s="14">
        <f t="shared" si="1"/>
        <v>12.5</v>
      </c>
      <c r="G157" s="8"/>
    </row>
    <row r="158" spans="1:7" ht="13.15" customHeight="1" x14ac:dyDescent="0.2">
      <c r="A158" s="369" t="s">
        <v>319</v>
      </c>
      <c r="B158" s="341" t="s">
        <v>10</v>
      </c>
      <c r="C158" s="313">
        <v>6</v>
      </c>
      <c r="D158" s="312">
        <v>20</v>
      </c>
      <c r="E158" s="14">
        <f t="shared" si="1"/>
        <v>3.3333333333333335</v>
      </c>
    </row>
    <row r="159" spans="1:7" x14ac:dyDescent="0.2">
      <c r="A159" s="369" t="s">
        <v>364</v>
      </c>
      <c r="B159" s="16" t="s">
        <v>10</v>
      </c>
      <c r="C159" s="313">
        <v>6</v>
      </c>
      <c r="D159" s="312">
        <v>40</v>
      </c>
      <c r="E159" s="14">
        <f t="shared" si="1"/>
        <v>6.666666666666667</v>
      </c>
    </row>
    <row r="160" spans="1:7" s="1" customFormat="1" x14ac:dyDescent="0.2">
      <c r="A160" s="370" t="s">
        <v>322</v>
      </c>
      <c r="B160" s="2" t="s">
        <v>10</v>
      </c>
      <c r="C160" s="313">
        <v>3.3333333333333333E-2</v>
      </c>
      <c r="D160" s="312">
        <v>1.5</v>
      </c>
      <c r="E160" s="14">
        <f t="shared" si="1"/>
        <v>45</v>
      </c>
      <c r="F160" s="37"/>
      <c r="G160" s="37"/>
    </row>
    <row r="161" spans="1:7" s="1" customFormat="1" x14ac:dyDescent="0.2">
      <c r="A161" s="370" t="s">
        <v>323</v>
      </c>
      <c r="B161" s="367" t="s">
        <v>10</v>
      </c>
      <c r="C161" s="313">
        <v>2</v>
      </c>
      <c r="D161" s="312">
        <v>10</v>
      </c>
      <c r="E161" s="14">
        <f t="shared" si="1"/>
        <v>5</v>
      </c>
      <c r="F161" s="37"/>
      <c r="G161" s="37"/>
    </row>
    <row r="162" spans="1:7" s="1" customFormat="1" x14ac:dyDescent="0.2">
      <c r="A162" s="370" t="s">
        <v>324</v>
      </c>
      <c r="B162" s="367" t="s">
        <v>10</v>
      </c>
      <c r="C162" s="366">
        <v>0.05</v>
      </c>
      <c r="D162" s="312">
        <v>0.2</v>
      </c>
      <c r="E162" s="14">
        <f t="shared" si="1"/>
        <v>4</v>
      </c>
      <c r="F162" s="37"/>
      <c r="G162" s="37"/>
    </row>
    <row r="163" spans="1:7" x14ac:dyDescent="0.2">
      <c r="A163" s="369" t="s">
        <v>325</v>
      </c>
      <c r="B163" s="16" t="s">
        <v>45</v>
      </c>
      <c r="C163" s="366">
        <v>0.2</v>
      </c>
      <c r="D163" s="312">
        <v>10</v>
      </c>
      <c r="E163" s="14">
        <f t="shared" si="1"/>
        <v>50</v>
      </c>
    </row>
    <row r="164" spans="1:7" ht="13.5" thickBot="1" x14ac:dyDescent="0.25">
      <c r="A164" s="15" t="s">
        <v>5</v>
      </c>
      <c r="B164" s="16" t="s">
        <v>6</v>
      </c>
      <c r="C164" s="68">
        <f>E42+E43+E44</f>
        <v>2</v>
      </c>
      <c r="D164" s="17">
        <f>+SUM(E153:E163)</f>
        <v>164.41666666666666</v>
      </c>
      <c r="E164" s="17">
        <f t="shared" ref="E164" si="2">C164*D164</f>
        <v>328.83333333333331</v>
      </c>
    </row>
    <row r="165" spans="1:7" ht="13.5" thickBot="1" x14ac:dyDescent="0.25">
      <c r="D165" s="122" t="s">
        <v>182</v>
      </c>
      <c r="E165" s="298">
        <f>$B$52</f>
        <v>1.7045454545454544E-2</v>
      </c>
      <c r="F165" s="123">
        <f>E164*E165</f>
        <v>5.6051136363636358</v>
      </c>
    </row>
    <row r="166" spans="1:7" ht="11.25" hidden="1" customHeight="1" x14ac:dyDescent="0.2"/>
    <row r="167" spans="1:7" ht="13.9" hidden="1" customHeight="1" x14ac:dyDescent="0.2">
      <c r="A167" s="8" t="s">
        <v>185</v>
      </c>
    </row>
    <row r="168" spans="1:7" ht="11.25" hidden="1" customHeight="1" thickBot="1" x14ac:dyDescent="0.25"/>
    <row r="169" spans="1:7" ht="24.75" hidden="1" thickBot="1" x14ac:dyDescent="0.25">
      <c r="A169" s="59" t="s">
        <v>60</v>
      </c>
      <c r="B169" s="60" t="s">
        <v>61</v>
      </c>
      <c r="C169" s="265" t="s">
        <v>239</v>
      </c>
      <c r="D169" s="61" t="s">
        <v>218</v>
      </c>
      <c r="E169" s="61" t="s">
        <v>62</v>
      </c>
      <c r="F169" s="62" t="s">
        <v>63</v>
      </c>
    </row>
    <row r="170" spans="1:7" hidden="1" x14ac:dyDescent="0.2">
      <c r="A170" s="12" t="s">
        <v>64</v>
      </c>
      <c r="B170" s="13" t="s">
        <v>10</v>
      </c>
      <c r="C170" s="316">
        <f>C153</f>
        <v>6</v>
      </c>
      <c r="D170" s="14">
        <f>+D153</f>
        <v>110</v>
      </c>
      <c r="E170" s="14">
        <f>IFERROR(D170/C170,0)</f>
        <v>18.333333333333332</v>
      </c>
    </row>
    <row r="171" spans="1:7" hidden="1" x14ac:dyDescent="0.2">
      <c r="A171" s="15" t="s">
        <v>27</v>
      </c>
      <c r="B171" s="16" t="s">
        <v>10</v>
      </c>
      <c r="C171" s="316">
        <f>C154</f>
        <v>4</v>
      </c>
      <c r="D171" s="17">
        <f>+D154</f>
        <v>30</v>
      </c>
      <c r="E171" s="14">
        <f t="shared" ref="E171:E175" si="3">IFERROR(D171/C171,0)</f>
        <v>7.5</v>
      </c>
    </row>
    <row r="172" spans="1:7" hidden="1" x14ac:dyDescent="0.2">
      <c r="A172" s="15" t="s">
        <v>28</v>
      </c>
      <c r="B172" s="16" t="s">
        <v>10</v>
      </c>
      <c r="C172" s="316">
        <f>C155</f>
        <v>4</v>
      </c>
      <c r="D172" s="17">
        <f>+D155</f>
        <v>35</v>
      </c>
      <c r="E172" s="14">
        <f t="shared" si="3"/>
        <v>8.75</v>
      </c>
    </row>
    <row r="173" spans="1:7" hidden="1" x14ac:dyDescent="0.2">
      <c r="A173" s="15" t="s">
        <v>66</v>
      </c>
      <c r="B173" s="16" t="s">
        <v>45</v>
      </c>
      <c r="C173" s="316">
        <f>C157</f>
        <v>4</v>
      </c>
      <c r="D173" s="17">
        <f>+D157</f>
        <v>50</v>
      </c>
      <c r="E173" s="14">
        <f t="shared" si="3"/>
        <v>12.5</v>
      </c>
    </row>
    <row r="174" spans="1:7" hidden="1" x14ac:dyDescent="0.2">
      <c r="A174" s="15" t="s">
        <v>65</v>
      </c>
      <c r="B174" s="16" t="s">
        <v>10</v>
      </c>
      <c r="C174" s="316">
        <f>C159</f>
        <v>6</v>
      </c>
      <c r="D174" s="17">
        <f>+D159</f>
        <v>40</v>
      </c>
      <c r="E174" s="14">
        <f t="shared" si="3"/>
        <v>6.666666666666667</v>
      </c>
      <c r="G174" s="8"/>
    </row>
    <row r="175" spans="1:7" hidden="1" x14ac:dyDescent="0.2">
      <c r="A175" s="15" t="s">
        <v>59</v>
      </c>
      <c r="B175" s="16" t="s">
        <v>46</v>
      </c>
      <c r="C175" s="316" t="e">
        <f>#REF!</f>
        <v>#REF!</v>
      </c>
      <c r="D175" s="17" t="e">
        <f>+#REF!</f>
        <v>#REF!</v>
      </c>
      <c r="E175" s="14">
        <f t="shared" si="3"/>
        <v>0</v>
      </c>
      <c r="G175" s="8"/>
    </row>
    <row r="176" spans="1:7" hidden="1" x14ac:dyDescent="0.2">
      <c r="A176" s="15" t="s">
        <v>184</v>
      </c>
      <c r="B176" s="16" t="s">
        <v>111</v>
      </c>
      <c r="C176" s="120">
        <v>1</v>
      </c>
      <c r="D176" s="86" t="e">
        <f>#REF!</f>
        <v>#REF!</v>
      </c>
      <c r="E176" s="17" t="e">
        <f t="shared" ref="E176:E177" si="4">C176*D176</f>
        <v>#REF!</v>
      </c>
      <c r="G176" s="8"/>
    </row>
    <row r="177" spans="1:10" ht="13.5" hidden="1" thickBot="1" x14ac:dyDescent="0.25">
      <c r="A177" s="15" t="s">
        <v>5</v>
      </c>
      <c r="B177" s="16" t="s">
        <v>6</v>
      </c>
      <c r="C177" s="68">
        <v>0</v>
      </c>
      <c r="D177" s="17" t="e">
        <f>+SUM(E170:E176)</f>
        <v>#REF!</v>
      </c>
      <c r="E177" s="17" t="e">
        <f t="shared" si="4"/>
        <v>#REF!</v>
      </c>
      <c r="G177" s="8"/>
    </row>
    <row r="178" spans="1:10" ht="13.5" hidden="1" thickBot="1" x14ac:dyDescent="0.25">
      <c r="D178" s="122" t="s">
        <v>182</v>
      </c>
      <c r="E178" s="298">
        <f>E101</f>
        <v>1.7045454545454544E-2</v>
      </c>
      <c r="F178" s="123" t="e">
        <f>E177*E178</f>
        <v>#REF!</v>
      </c>
      <c r="G178" s="8"/>
    </row>
    <row r="179" spans="1:10" ht="11.25" customHeight="1" thickBot="1" x14ac:dyDescent="0.25">
      <c r="G179" s="8"/>
    </row>
    <row r="180" spans="1:10" ht="13.5" thickBot="1" x14ac:dyDescent="0.25">
      <c r="A180" s="23" t="s">
        <v>186</v>
      </c>
      <c r="B180" s="27"/>
      <c r="C180" s="27"/>
      <c r="D180" s="28"/>
      <c r="E180" s="29"/>
      <c r="F180" s="20">
        <f>+F165</f>
        <v>5.6051136363636358</v>
      </c>
      <c r="G180" s="8"/>
    </row>
    <row r="181" spans="1:10" ht="11.25" customHeight="1" x14ac:dyDescent="0.2">
      <c r="G181" s="8"/>
    </row>
    <row r="182" spans="1:10" x14ac:dyDescent="0.2">
      <c r="A182" s="10" t="s">
        <v>51</v>
      </c>
      <c r="G182" s="8"/>
    </row>
    <row r="183" spans="1:10" ht="11.25" customHeight="1" x14ac:dyDescent="0.2">
      <c r="B183" s="106"/>
      <c r="G183" s="8"/>
    </row>
    <row r="184" spans="1:10" x14ac:dyDescent="0.2">
      <c r="A184" s="6" t="s">
        <v>327</v>
      </c>
      <c r="G184" s="8"/>
    </row>
    <row r="185" spans="1:10" ht="11.25" customHeight="1" x14ac:dyDescent="0.2">
      <c r="G185" s="8"/>
    </row>
    <row r="186" spans="1:10" ht="13.5" thickBot="1" x14ac:dyDescent="0.25">
      <c r="A186" s="106" t="s">
        <v>43</v>
      </c>
      <c r="G186" s="8"/>
    </row>
    <row r="187" spans="1:10" ht="13.5" thickBot="1" x14ac:dyDescent="0.25">
      <c r="A187" s="59" t="s">
        <v>60</v>
      </c>
      <c r="B187" s="60" t="s">
        <v>61</v>
      </c>
      <c r="C187" s="60" t="s">
        <v>37</v>
      </c>
      <c r="D187" s="61" t="s">
        <v>218</v>
      </c>
      <c r="E187" s="61" t="s">
        <v>62</v>
      </c>
      <c r="F187" s="62" t="s">
        <v>63</v>
      </c>
      <c r="G187" s="8"/>
    </row>
    <row r="188" spans="1:10" x14ac:dyDescent="0.2">
      <c r="A188" s="12" t="s">
        <v>100</v>
      </c>
      <c r="B188" s="13" t="s">
        <v>10</v>
      </c>
      <c r="C188" s="271">
        <v>1</v>
      </c>
      <c r="D188" s="86">
        <v>138331</v>
      </c>
      <c r="E188" s="14">
        <f>C188*D188</f>
        <v>138331</v>
      </c>
      <c r="G188" s="8"/>
    </row>
    <row r="189" spans="1:10" x14ac:dyDescent="0.2">
      <c r="A189" s="15" t="s">
        <v>97</v>
      </c>
      <c r="B189" s="16" t="s">
        <v>98</v>
      </c>
      <c r="C189" s="85">
        <v>10</v>
      </c>
      <c r="D189" s="82"/>
      <c r="E189" s="17"/>
      <c r="G189" s="8"/>
    </row>
    <row r="190" spans="1:10" x14ac:dyDescent="0.2">
      <c r="A190" s="15" t="s">
        <v>198</v>
      </c>
      <c r="B190" s="16" t="s">
        <v>98</v>
      </c>
      <c r="C190" s="85">
        <v>0</v>
      </c>
      <c r="D190" s="17"/>
      <c r="E190" s="17"/>
      <c r="F190" s="19"/>
      <c r="I190" s="84"/>
      <c r="J190" s="84"/>
    </row>
    <row r="191" spans="1:10" x14ac:dyDescent="0.2">
      <c r="A191" s="15" t="s">
        <v>99</v>
      </c>
      <c r="B191" s="16" t="s">
        <v>2</v>
      </c>
      <c r="C191" s="140">
        <f>IFERROR(VLOOKUP(C189,'6. Depreciação'!A3:B17,2,FALSE),0)</f>
        <v>65.180000000000007</v>
      </c>
      <c r="D191" s="17">
        <f>E188</f>
        <v>138331</v>
      </c>
      <c r="E191" s="17">
        <f>C191*D191/100</f>
        <v>90164.145799999998</v>
      </c>
    </row>
    <row r="192" spans="1:10" ht="13.5" thickBot="1" x14ac:dyDescent="0.25">
      <c r="A192" s="274" t="s">
        <v>47</v>
      </c>
      <c r="B192" s="275" t="s">
        <v>8</v>
      </c>
      <c r="C192" s="275">
        <f>C189*12</f>
        <v>120</v>
      </c>
      <c r="D192" s="276">
        <f>IF(C190&lt;=C189,E191,0)</f>
        <v>90164.145799999998</v>
      </c>
      <c r="E192" s="276">
        <f>IFERROR(D192/C192,0)</f>
        <v>751.36788166666668</v>
      </c>
    </row>
    <row r="193" spans="1:10" ht="13.5" thickTop="1" x14ac:dyDescent="0.2">
      <c r="A193" s="284" t="s">
        <v>328</v>
      </c>
      <c r="B193" s="13" t="s">
        <v>10</v>
      </c>
      <c r="C193" s="13">
        <f>C188</f>
        <v>1</v>
      </c>
      <c r="D193" s="86">
        <v>60000</v>
      </c>
      <c r="E193" s="14">
        <f>C193*D193</f>
        <v>60000</v>
      </c>
      <c r="G193" s="8"/>
    </row>
    <row r="194" spans="1:10" x14ac:dyDescent="0.2">
      <c r="A194" s="314" t="s">
        <v>97</v>
      </c>
      <c r="B194" s="16" t="s">
        <v>98</v>
      </c>
      <c r="C194" s="85">
        <v>10</v>
      </c>
      <c r="D194" s="17"/>
      <c r="E194" s="17"/>
    </row>
    <row r="195" spans="1:10" x14ac:dyDescent="0.2">
      <c r="A195" s="314" t="s">
        <v>291</v>
      </c>
      <c r="B195" s="16" t="s">
        <v>98</v>
      </c>
      <c r="C195" s="85">
        <v>0</v>
      </c>
      <c r="D195" s="17"/>
      <c r="E195" s="17"/>
      <c r="F195" s="19"/>
      <c r="I195" s="84"/>
      <c r="J195" s="84"/>
    </row>
    <row r="196" spans="1:10" x14ac:dyDescent="0.2">
      <c r="A196" s="314" t="s">
        <v>99</v>
      </c>
      <c r="B196" s="16" t="s">
        <v>2</v>
      </c>
      <c r="C196" s="141">
        <f>IFERROR(VLOOKUP(C194,'6. Depreciação'!A3:B17,2,FALSE),0)</f>
        <v>65.180000000000007</v>
      </c>
      <c r="D196" s="17">
        <f>E193</f>
        <v>60000</v>
      </c>
      <c r="E196" s="17">
        <f>C196*D196/100</f>
        <v>39108.000000000007</v>
      </c>
    </row>
    <row r="197" spans="1:10" x14ac:dyDescent="0.2">
      <c r="A197" s="102" t="s">
        <v>292</v>
      </c>
      <c r="B197" s="103" t="s">
        <v>8</v>
      </c>
      <c r="C197" s="103">
        <f>C194*12</f>
        <v>120</v>
      </c>
      <c r="D197" s="104">
        <f>IF(C195&lt;=C194,E196,0)</f>
        <v>39108.000000000007</v>
      </c>
      <c r="E197" s="104">
        <f>IFERROR(D197/C197,0)</f>
        <v>325.90000000000003</v>
      </c>
    </row>
    <row r="198" spans="1:10" x14ac:dyDescent="0.2">
      <c r="A198" s="102" t="s">
        <v>351</v>
      </c>
      <c r="B198" s="103" t="s">
        <v>8</v>
      </c>
      <c r="C198" s="103">
        <v>1</v>
      </c>
      <c r="D198" s="104">
        <f>IF(C196&lt;=C195,E197,0)</f>
        <v>0</v>
      </c>
      <c r="E198" s="104">
        <f>(E192+E197)*0.1</f>
        <v>107.72678816666667</v>
      </c>
    </row>
    <row r="199" spans="1:10" x14ac:dyDescent="0.2">
      <c r="A199" s="115" t="s">
        <v>242</v>
      </c>
      <c r="B199" s="116"/>
      <c r="C199" s="116"/>
      <c r="D199" s="117"/>
      <c r="E199" s="118">
        <f>E192+E197+E198</f>
        <v>1184.9946698333333</v>
      </c>
    </row>
    <row r="200" spans="1:10" ht="13.5" thickBot="1" x14ac:dyDescent="0.25">
      <c r="A200" s="102" t="s">
        <v>243</v>
      </c>
      <c r="B200" s="103" t="s">
        <v>10</v>
      </c>
      <c r="C200" s="85">
        <v>1</v>
      </c>
      <c r="D200" s="104">
        <f>E199</f>
        <v>1184.9946698333333</v>
      </c>
      <c r="E200" s="118">
        <f>C200*D200</f>
        <v>1184.9946698333333</v>
      </c>
    </row>
    <row r="201" spans="1:10" ht="13.5" thickBot="1" x14ac:dyDescent="0.25">
      <c r="A201" s="270"/>
      <c r="B201" s="270"/>
      <c r="C201" s="270"/>
      <c r="D201" s="122" t="s">
        <v>182</v>
      </c>
      <c r="E201" s="298">
        <f>E101</f>
        <v>1.7045454545454544E-2</v>
      </c>
      <c r="F201" s="20">
        <f>E200*E201</f>
        <v>20.19877278125</v>
      </c>
    </row>
    <row r="202" spans="1:10" ht="11.25" customHeight="1" x14ac:dyDescent="0.2"/>
    <row r="203" spans="1:10" ht="13.5" thickBot="1" x14ac:dyDescent="0.25">
      <c r="A203" s="106" t="s">
        <v>102</v>
      </c>
    </row>
    <row r="204" spans="1:10" ht="13.5" thickBot="1" x14ac:dyDescent="0.25">
      <c r="A204" s="108" t="s">
        <v>60</v>
      </c>
      <c r="B204" s="109" t="s">
        <v>61</v>
      </c>
      <c r="C204" s="109" t="s">
        <v>37</v>
      </c>
      <c r="D204" s="61" t="s">
        <v>218</v>
      </c>
      <c r="E204" s="110" t="s">
        <v>62</v>
      </c>
      <c r="F204" s="62" t="s">
        <v>63</v>
      </c>
      <c r="I204" s="84"/>
      <c r="J204" s="84"/>
    </row>
    <row r="205" spans="1:10" x14ac:dyDescent="0.2">
      <c r="A205" s="15" t="s">
        <v>101</v>
      </c>
      <c r="B205" s="16" t="s">
        <v>10</v>
      </c>
      <c r="C205" s="271">
        <v>1</v>
      </c>
      <c r="D205" s="17">
        <f>D188</f>
        <v>138331</v>
      </c>
      <c r="E205" s="17">
        <f>C205*D205</f>
        <v>138331</v>
      </c>
      <c r="F205" s="19"/>
      <c r="I205" s="84"/>
      <c r="J205" s="84"/>
    </row>
    <row r="206" spans="1:10" x14ac:dyDescent="0.2">
      <c r="A206" s="15" t="s">
        <v>201</v>
      </c>
      <c r="B206" s="16" t="s">
        <v>2</v>
      </c>
      <c r="C206" s="85">
        <v>5.25</v>
      </c>
      <c r="D206" s="17"/>
      <c r="E206" s="17"/>
      <c r="F206" s="19"/>
      <c r="I206" s="84"/>
      <c r="J206" s="84"/>
    </row>
    <row r="207" spans="1:10" x14ac:dyDescent="0.2">
      <c r="A207" s="15" t="s">
        <v>199</v>
      </c>
      <c r="B207" s="16" t="s">
        <v>30</v>
      </c>
      <c r="C207" s="148">
        <f>IFERROR(IF(C190&lt;=C189,E188-(C191/(100*C189)*C190)*E188,E188-E191),0)</f>
        <v>138331</v>
      </c>
      <c r="D207" s="17"/>
      <c r="E207" s="17"/>
      <c r="F207" s="19"/>
      <c r="I207" s="84"/>
      <c r="J207" s="84"/>
    </row>
    <row r="208" spans="1:10" x14ac:dyDescent="0.2">
      <c r="A208" s="15" t="s">
        <v>103</v>
      </c>
      <c r="B208" s="16" t="s">
        <v>30</v>
      </c>
      <c r="C208" s="82">
        <f>IFERROR(IF(C190&gt;=C189,C207,((((C207)-(E188-E191))*(((C189-C190)+1)/(2*(C189-C190))))+(E188-E191))),0)</f>
        <v>97757.134390000007</v>
      </c>
      <c r="D208" s="17"/>
      <c r="E208" s="17"/>
      <c r="F208" s="19"/>
      <c r="I208" s="84"/>
      <c r="J208" s="84"/>
    </row>
    <row r="209" spans="1:10" ht="13.5" thickBot="1" x14ac:dyDescent="0.25">
      <c r="A209" s="274" t="s">
        <v>104</v>
      </c>
      <c r="B209" s="275" t="s">
        <v>30</v>
      </c>
      <c r="C209" s="275"/>
      <c r="D209" s="277">
        <f>C206*C208/12/100</f>
        <v>427.68746295625004</v>
      </c>
      <c r="E209" s="276">
        <f>D209</f>
        <v>427.68746295625004</v>
      </c>
      <c r="F209" s="19"/>
      <c r="I209" s="84"/>
      <c r="J209" s="84"/>
    </row>
    <row r="210" spans="1:10" ht="13.5" thickTop="1" x14ac:dyDescent="0.2">
      <c r="A210" s="284" t="s">
        <v>286</v>
      </c>
      <c r="B210" s="13" t="s">
        <v>10</v>
      </c>
      <c r="C210" s="13">
        <f>C193</f>
        <v>1</v>
      </c>
      <c r="D210" s="14">
        <f>D193</f>
        <v>60000</v>
      </c>
      <c r="E210" s="14">
        <f>C210*D210</f>
        <v>60000</v>
      </c>
      <c r="F210" s="19"/>
      <c r="I210" s="84"/>
      <c r="J210" s="84"/>
    </row>
    <row r="211" spans="1:10" x14ac:dyDescent="0.2">
      <c r="A211" s="314" t="s">
        <v>201</v>
      </c>
      <c r="B211" s="16" t="s">
        <v>2</v>
      </c>
      <c r="C211" s="272">
        <f>C206</f>
        <v>5.25</v>
      </c>
      <c r="D211" s="17"/>
      <c r="E211" s="17"/>
      <c r="F211" s="19"/>
      <c r="I211" s="84"/>
      <c r="J211" s="84"/>
    </row>
    <row r="212" spans="1:10" x14ac:dyDescent="0.2">
      <c r="A212" s="15" t="s">
        <v>200</v>
      </c>
      <c r="B212" s="16" t="s">
        <v>30</v>
      </c>
      <c r="C212" s="148">
        <f>IFERROR(IF(C195&lt;=C194,E193-(C196/(100*C194)*C195)*E193,E193-E196),0)</f>
        <v>60000</v>
      </c>
      <c r="D212" s="17"/>
      <c r="E212" s="17"/>
      <c r="F212" s="19"/>
      <c r="I212" s="84"/>
      <c r="J212" s="84"/>
    </row>
    <row r="213" spans="1:10" x14ac:dyDescent="0.2">
      <c r="A213" s="314" t="s">
        <v>287</v>
      </c>
      <c r="B213" s="16" t="s">
        <v>30</v>
      </c>
      <c r="C213" s="82">
        <f>IFERROR(IF(C195&gt;=C194,C212,((((C212)-(E193-E196))*(((C194-C195)+1)/(2*(C194-C195))))+(E193-E196))),0)</f>
        <v>42401.399999999994</v>
      </c>
      <c r="D213" s="17"/>
      <c r="E213" s="17"/>
      <c r="F213" s="19"/>
      <c r="I213" s="84"/>
      <c r="J213" s="84"/>
    </row>
    <row r="214" spans="1:10" x14ac:dyDescent="0.2">
      <c r="A214" s="102" t="s">
        <v>288</v>
      </c>
      <c r="B214" s="103" t="s">
        <v>30</v>
      </c>
      <c r="C214" s="103"/>
      <c r="D214" s="112">
        <f>C211*C213/12/100</f>
        <v>185.506125</v>
      </c>
      <c r="E214" s="104">
        <f>D214</f>
        <v>185.506125</v>
      </c>
      <c r="F214" s="19"/>
      <c r="I214" s="84"/>
      <c r="J214" s="84"/>
    </row>
    <row r="215" spans="1:10" x14ac:dyDescent="0.2">
      <c r="A215" s="115" t="s">
        <v>242</v>
      </c>
      <c r="B215" s="116"/>
      <c r="C215" s="116"/>
      <c r="D215" s="117"/>
      <c r="E215" s="118">
        <f>E209+E214</f>
        <v>613.19358795624998</v>
      </c>
      <c r="F215" s="19"/>
      <c r="I215" s="84"/>
      <c r="J215" s="84"/>
    </row>
    <row r="216" spans="1:10" ht="13.5" thickBot="1" x14ac:dyDescent="0.25">
      <c r="A216" s="102" t="s">
        <v>243</v>
      </c>
      <c r="B216" s="103" t="s">
        <v>10</v>
      </c>
      <c r="C216" s="272">
        <f>C200</f>
        <v>1</v>
      </c>
      <c r="D216" s="104">
        <f>E215</f>
        <v>613.19358795624998</v>
      </c>
      <c r="E216" s="118">
        <f>C216*D216</f>
        <v>613.19358795624998</v>
      </c>
      <c r="F216" s="19"/>
      <c r="I216" s="84"/>
      <c r="J216" s="84"/>
    </row>
    <row r="217" spans="1:10" ht="13.5" thickBot="1" x14ac:dyDescent="0.25">
      <c r="C217" s="18"/>
      <c r="D217" s="122" t="s">
        <v>182</v>
      </c>
      <c r="E217" s="298">
        <f>E201</f>
        <v>1.7045454545454544E-2</v>
      </c>
      <c r="F217" s="20">
        <f>E216*E217</f>
        <v>10.452163431072442</v>
      </c>
      <c r="I217" s="84"/>
      <c r="J217" s="84"/>
    </row>
    <row r="218" spans="1:10" ht="11.25" customHeight="1" x14ac:dyDescent="0.2">
      <c r="I218" s="84"/>
      <c r="J218" s="84"/>
    </row>
    <row r="219" spans="1:10" ht="13.5" thickBot="1" x14ac:dyDescent="0.25">
      <c r="A219" s="8" t="s">
        <v>48</v>
      </c>
      <c r="I219" s="84"/>
      <c r="J219" s="84"/>
    </row>
    <row r="220" spans="1:10" ht="13.5" thickBot="1" x14ac:dyDescent="0.25">
      <c r="A220" s="59" t="s">
        <v>60</v>
      </c>
      <c r="B220" s="60" t="s">
        <v>61</v>
      </c>
      <c r="C220" s="60" t="s">
        <v>37</v>
      </c>
      <c r="D220" s="61" t="s">
        <v>218</v>
      </c>
      <c r="E220" s="61" t="s">
        <v>62</v>
      </c>
      <c r="F220" s="62" t="s">
        <v>63</v>
      </c>
      <c r="I220" s="84"/>
      <c r="J220" s="84"/>
    </row>
    <row r="221" spans="1:10" x14ac:dyDescent="0.2">
      <c r="A221" s="12" t="s">
        <v>11</v>
      </c>
      <c r="B221" s="13" t="s">
        <v>10</v>
      </c>
      <c r="C221" s="14">
        <f>C200</f>
        <v>1</v>
      </c>
      <c r="D221" s="14">
        <f>0.01*C207</f>
        <v>1383.31</v>
      </c>
      <c r="E221" s="14">
        <f>C221*D221</f>
        <v>1383.31</v>
      </c>
      <c r="I221" s="84"/>
      <c r="J221" s="84"/>
    </row>
    <row r="222" spans="1:10" x14ac:dyDescent="0.2">
      <c r="A222" s="15" t="s">
        <v>181</v>
      </c>
      <c r="B222" s="16" t="s">
        <v>10</v>
      </c>
      <c r="C222" s="14">
        <f>C200</f>
        <v>1</v>
      </c>
      <c r="D222" s="88">
        <v>150</v>
      </c>
      <c r="E222" s="17">
        <f>C222*D222</f>
        <v>150</v>
      </c>
      <c r="I222" s="84"/>
      <c r="J222" s="84"/>
    </row>
    <row r="223" spans="1:10" x14ac:dyDescent="0.2">
      <c r="A223" s="15" t="s">
        <v>12</v>
      </c>
      <c r="B223" s="16" t="s">
        <v>10</v>
      </c>
      <c r="C223" s="14">
        <f>C200</f>
        <v>1</v>
      </c>
      <c r="D223" s="88">
        <v>2510</v>
      </c>
      <c r="E223" s="17">
        <f>C223*D223</f>
        <v>2510</v>
      </c>
      <c r="F223" s="30"/>
      <c r="I223" s="84"/>
      <c r="J223" s="84"/>
    </row>
    <row r="224" spans="1:10" ht="13.5" thickBot="1" x14ac:dyDescent="0.25">
      <c r="A224" s="102" t="s">
        <v>13</v>
      </c>
      <c r="B224" s="103" t="s">
        <v>8</v>
      </c>
      <c r="C224" s="103">
        <v>12</v>
      </c>
      <c r="D224" s="104">
        <f>SUM(E221:E223)</f>
        <v>4043.31</v>
      </c>
      <c r="E224" s="104">
        <f>D224/C224</f>
        <v>336.9425</v>
      </c>
      <c r="I224" s="84"/>
      <c r="J224" s="84"/>
    </row>
    <row r="225" spans="1:10" ht="13.5" thickBot="1" x14ac:dyDescent="0.25">
      <c r="D225" s="122" t="s">
        <v>182</v>
      </c>
      <c r="E225" s="298">
        <f>E217</f>
        <v>1.7045454545454544E-2</v>
      </c>
      <c r="F225" s="123">
        <f>E224*E225</f>
        <v>5.743338068181818</v>
      </c>
      <c r="I225" s="84"/>
      <c r="J225" s="84"/>
    </row>
    <row r="226" spans="1:10" ht="11.25" customHeight="1" x14ac:dyDescent="0.2">
      <c r="I226" s="84"/>
      <c r="J226" s="84"/>
    </row>
    <row r="227" spans="1:10" x14ac:dyDescent="0.2">
      <c r="A227" s="8" t="s">
        <v>49</v>
      </c>
      <c r="B227" s="31"/>
      <c r="I227" s="84"/>
      <c r="J227" s="84"/>
    </row>
    <row r="228" spans="1:10" x14ac:dyDescent="0.2">
      <c r="B228" s="31"/>
      <c r="I228" s="84"/>
      <c r="J228" s="84"/>
    </row>
    <row r="229" spans="1:10" x14ac:dyDescent="0.2">
      <c r="A229" s="102" t="s">
        <v>106</v>
      </c>
      <c r="B229" s="328">
        <f>Roteiros!D10</f>
        <v>180</v>
      </c>
      <c r="I229" s="84"/>
      <c r="J229" s="84"/>
    </row>
    <row r="230" spans="1:10" ht="13.5" thickBot="1" x14ac:dyDescent="0.25">
      <c r="B230" s="31"/>
      <c r="I230" s="84"/>
      <c r="J230" s="84"/>
    </row>
    <row r="231" spans="1:10" ht="13.5" thickBot="1" x14ac:dyDescent="0.25">
      <c r="A231" s="59" t="s">
        <v>60</v>
      </c>
      <c r="B231" s="60" t="s">
        <v>61</v>
      </c>
      <c r="C231" s="60" t="s">
        <v>241</v>
      </c>
      <c r="D231" s="61" t="s">
        <v>218</v>
      </c>
      <c r="E231" s="61" t="s">
        <v>62</v>
      </c>
      <c r="F231" s="62" t="s">
        <v>63</v>
      </c>
      <c r="I231" s="84"/>
      <c r="J231" s="84"/>
    </row>
    <row r="232" spans="1:10" x14ac:dyDescent="0.2">
      <c r="A232" s="12" t="s">
        <v>14</v>
      </c>
      <c r="B232" s="13" t="s">
        <v>15</v>
      </c>
      <c r="C232" s="96">
        <v>4.5</v>
      </c>
      <c r="D232" s="97">
        <v>4.51</v>
      </c>
      <c r="E232" s="14"/>
      <c r="I232" s="84"/>
      <c r="J232" s="84"/>
    </row>
    <row r="233" spans="1:10" x14ac:dyDescent="0.2">
      <c r="A233" s="15" t="s">
        <v>16</v>
      </c>
      <c r="B233" s="16" t="s">
        <v>17</v>
      </c>
      <c r="C233" s="378">
        <f>B229</f>
        <v>180</v>
      </c>
      <c r="D233" s="269">
        <f>IFERROR(+D232/C232,"-")</f>
        <v>1.0022222222222221</v>
      </c>
      <c r="E233" s="17">
        <f>IFERROR(C233*D233,"-")</f>
        <v>180.39999999999998</v>
      </c>
      <c r="I233" s="84"/>
      <c r="J233" s="84"/>
    </row>
    <row r="234" spans="1:10" x14ac:dyDescent="0.2">
      <c r="A234" s="15" t="s">
        <v>219</v>
      </c>
      <c r="B234" s="16" t="s">
        <v>18</v>
      </c>
      <c r="C234" s="99">
        <v>1.33</v>
      </c>
      <c r="D234" s="88">
        <v>12.4</v>
      </c>
      <c r="E234" s="17"/>
      <c r="G234" s="111"/>
      <c r="H234" s="51"/>
      <c r="I234" s="84"/>
      <c r="J234" s="84"/>
    </row>
    <row r="235" spans="1:10" x14ac:dyDescent="0.2">
      <c r="A235" s="15" t="s">
        <v>19</v>
      </c>
      <c r="B235" s="16" t="s">
        <v>17</v>
      </c>
      <c r="C235" s="378">
        <f>C233</f>
        <v>180</v>
      </c>
      <c r="D235" s="266">
        <f>+C234*D234/1000</f>
        <v>1.6492E-2</v>
      </c>
      <c r="E235" s="17">
        <f>C235*D235</f>
        <v>2.9685600000000001</v>
      </c>
      <c r="G235" s="111"/>
      <c r="H235" s="51"/>
      <c r="I235" s="84"/>
      <c r="J235" s="84"/>
    </row>
    <row r="236" spans="1:10" x14ac:dyDescent="0.2">
      <c r="A236" s="15" t="s">
        <v>220</v>
      </c>
      <c r="B236" s="16" t="s">
        <v>18</v>
      </c>
      <c r="C236" s="99">
        <v>0.18</v>
      </c>
      <c r="D236" s="88">
        <v>22</v>
      </c>
      <c r="E236" s="17"/>
      <c r="G236" s="111"/>
      <c r="H236" s="51"/>
      <c r="I236" s="84"/>
      <c r="J236" s="84"/>
    </row>
    <row r="237" spans="1:10" x14ac:dyDescent="0.2">
      <c r="A237" s="15" t="s">
        <v>20</v>
      </c>
      <c r="B237" s="16" t="s">
        <v>17</v>
      </c>
      <c r="C237" s="378">
        <f>C233</f>
        <v>180</v>
      </c>
      <c r="D237" s="266">
        <f>+C236*D236/1000</f>
        <v>3.96E-3</v>
      </c>
      <c r="E237" s="17">
        <f>C237*D237</f>
        <v>0.71279999999999999</v>
      </c>
      <c r="G237" s="111"/>
      <c r="H237" s="51"/>
      <c r="I237" s="84"/>
      <c r="J237" s="84"/>
    </row>
    <row r="238" spans="1:10" x14ac:dyDescent="0.2">
      <c r="A238" s="314" t="s">
        <v>303</v>
      </c>
      <c r="B238" s="16" t="s">
        <v>18</v>
      </c>
      <c r="C238" s="99">
        <v>25</v>
      </c>
      <c r="D238" s="88">
        <v>1.8</v>
      </c>
      <c r="E238" s="17"/>
      <c r="G238" s="111"/>
      <c r="H238" s="51"/>
      <c r="I238" s="84"/>
      <c r="J238" s="84"/>
    </row>
    <row r="239" spans="1:10" x14ac:dyDescent="0.2">
      <c r="A239" s="314" t="s">
        <v>304</v>
      </c>
      <c r="B239" s="16" t="s">
        <v>17</v>
      </c>
      <c r="C239" s="378">
        <f>C233</f>
        <v>180</v>
      </c>
      <c r="D239" s="266">
        <f>+C238*D238/1000</f>
        <v>4.4999999999999998E-2</v>
      </c>
      <c r="E239" s="17">
        <f>C239*D239</f>
        <v>8.1</v>
      </c>
      <c r="G239" s="111"/>
      <c r="H239" s="51"/>
      <c r="I239" s="84"/>
      <c r="J239" s="84"/>
    </row>
    <row r="240" spans="1:10" x14ac:dyDescent="0.2">
      <c r="A240" s="15" t="s">
        <v>221</v>
      </c>
      <c r="B240" s="16" t="s">
        <v>18</v>
      </c>
      <c r="C240" s="99">
        <v>1</v>
      </c>
      <c r="D240" s="88">
        <v>18</v>
      </c>
      <c r="E240" s="17"/>
      <c r="G240" s="379"/>
      <c r="H240" s="51"/>
      <c r="I240" s="84"/>
      <c r="J240" s="84"/>
    </row>
    <row r="241" spans="1:10" x14ac:dyDescent="0.2">
      <c r="A241" s="15" t="s">
        <v>21</v>
      </c>
      <c r="B241" s="16" t="s">
        <v>17</v>
      </c>
      <c r="C241" s="378">
        <f>C233</f>
        <v>180</v>
      </c>
      <c r="D241" s="266">
        <f>+C240*D240/1000</f>
        <v>1.7999999999999999E-2</v>
      </c>
      <c r="E241" s="17">
        <f>C241*D241</f>
        <v>3.2399999999999998</v>
      </c>
      <c r="G241" s="111"/>
      <c r="H241" s="51"/>
      <c r="I241" s="84"/>
      <c r="J241" s="84"/>
    </row>
    <row r="242" spans="1:10" x14ac:dyDescent="0.2">
      <c r="A242" s="15" t="s">
        <v>22</v>
      </c>
      <c r="B242" s="16" t="s">
        <v>23</v>
      </c>
      <c r="C242" s="99">
        <v>2</v>
      </c>
      <c r="D242" s="88">
        <v>16</v>
      </c>
      <c r="E242" s="17"/>
      <c r="G242" s="111"/>
      <c r="H242" s="51"/>
      <c r="I242" s="84"/>
      <c r="J242" s="84"/>
    </row>
    <row r="243" spans="1:10" x14ac:dyDescent="0.2">
      <c r="A243" s="15" t="s">
        <v>24</v>
      </c>
      <c r="B243" s="16" t="s">
        <v>17</v>
      </c>
      <c r="C243" s="378">
        <f>C233</f>
        <v>180</v>
      </c>
      <c r="D243" s="266">
        <f>+C242*D242/1000</f>
        <v>3.2000000000000001E-2</v>
      </c>
      <c r="E243" s="17">
        <f>C243*D243</f>
        <v>5.76</v>
      </c>
      <c r="G243" s="111"/>
      <c r="H243" s="51"/>
      <c r="I243" s="84"/>
      <c r="J243" s="84"/>
    </row>
    <row r="244" spans="1:10" ht="13.5" thickBot="1" x14ac:dyDescent="0.25">
      <c r="A244" s="102" t="s">
        <v>240</v>
      </c>
      <c r="B244" s="103" t="s">
        <v>107</v>
      </c>
      <c r="C244" s="267"/>
      <c r="D244" s="268">
        <f>IFERROR(D233+D235+D237+D241+D243,0)</f>
        <v>1.0726742222222221</v>
      </c>
      <c r="E244" s="17"/>
      <c r="G244" s="111"/>
      <c r="H244" s="51"/>
      <c r="I244" s="84"/>
      <c r="J244" s="84"/>
    </row>
    <row r="245" spans="1:10" ht="13.5" thickBot="1" x14ac:dyDescent="0.25">
      <c r="F245" s="20">
        <f>SUM(E232:E243)</f>
        <v>201.18135999999996</v>
      </c>
      <c r="I245" s="84"/>
      <c r="J245" s="84"/>
    </row>
    <row r="246" spans="1:10" ht="11.25" customHeight="1" x14ac:dyDescent="0.2">
      <c r="I246" s="84"/>
      <c r="J246" s="84"/>
    </row>
    <row r="247" spans="1:10" ht="13.5" thickBot="1" x14ac:dyDescent="0.25">
      <c r="A247" s="8" t="s">
        <v>50</v>
      </c>
      <c r="I247" s="84"/>
      <c r="J247" s="84"/>
    </row>
    <row r="248" spans="1:10" ht="13.5" thickBot="1" x14ac:dyDescent="0.25">
      <c r="A248" s="59" t="s">
        <v>60</v>
      </c>
      <c r="B248" s="60" t="s">
        <v>61</v>
      </c>
      <c r="C248" s="60" t="s">
        <v>37</v>
      </c>
      <c r="D248" s="61" t="s">
        <v>218</v>
      </c>
      <c r="E248" s="61" t="s">
        <v>62</v>
      </c>
      <c r="F248" s="62" t="s">
        <v>63</v>
      </c>
      <c r="I248" s="84"/>
      <c r="J248" s="84"/>
    </row>
    <row r="249" spans="1:10" ht="13.5" thickBot="1" x14ac:dyDescent="0.25">
      <c r="A249" s="12" t="s">
        <v>105</v>
      </c>
      <c r="B249" s="13" t="s">
        <v>107</v>
      </c>
      <c r="C249" s="17">
        <f>C233</f>
        <v>180</v>
      </c>
      <c r="D249" s="86">
        <v>0.74</v>
      </c>
      <c r="E249" s="14">
        <f>C249*D249</f>
        <v>133.19999999999999</v>
      </c>
      <c r="I249" s="84"/>
      <c r="J249" s="84"/>
    </row>
    <row r="250" spans="1:10" ht="13.5" thickBot="1" x14ac:dyDescent="0.25">
      <c r="F250" s="20">
        <f>E249</f>
        <v>133.19999999999999</v>
      </c>
      <c r="I250" s="84"/>
      <c r="J250" s="84"/>
    </row>
    <row r="251" spans="1:10" ht="11.25" customHeight="1" x14ac:dyDescent="0.2">
      <c r="I251" s="84"/>
      <c r="J251" s="84"/>
    </row>
    <row r="252" spans="1:10" ht="13.5" thickBot="1" x14ac:dyDescent="0.25">
      <c r="A252" s="8" t="s">
        <v>58</v>
      </c>
      <c r="I252" s="84"/>
      <c r="J252" s="84"/>
    </row>
    <row r="253" spans="1:10" ht="13.5" thickBot="1" x14ac:dyDescent="0.25">
      <c r="A253" s="59" t="s">
        <v>60</v>
      </c>
      <c r="B253" s="60" t="s">
        <v>61</v>
      </c>
      <c r="C253" s="60" t="s">
        <v>37</v>
      </c>
      <c r="D253" s="61" t="s">
        <v>218</v>
      </c>
      <c r="E253" s="61" t="s">
        <v>62</v>
      </c>
      <c r="F253" s="62" t="s">
        <v>63</v>
      </c>
      <c r="I253" s="84"/>
      <c r="J253" s="84"/>
    </row>
    <row r="254" spans="1:10" x14ac:dyDescent="0.2">
      <c r="A254" s="284" t="s">
        <v>305</v>
      </c>
      <c r="B254" s="13" t="s">
        <v>10</v>
      </c>
      <c r="C254" s="95">
        <v>6</v>
      </c>
      <c r="D254" s="86">
        <v>2150</v>
      </c>
      <c r="E254" s="14">
        <f>C254*D254</f>
        <v>12900</v>
      </c>
      <c r="I254" s="84"/>
      <c r="J254" s="84"/>
    </row>
    <row r="255" spans="1:10" x14ac:dyDescent="0.2">
      <c r="A255" s="12" t="s">
        <v>108</v>
      </c>
      <c r="B255" s="13" t="s">
        <v>10</v>
      </c>
      <c r="C255" s="95">
        <v>2</v>
      </c>
      <c r="D255" s="105"/>
      <c r="E255" s="14"/>
      <c r="I255" s="84"/>
      <c r="J255" s="84"/>
    </row>
    <row r="256" spans="1:10" x14ac:dyDescent="0.2">
      <c r="A256" s="12" t="s">
        <v>67</v>
      </c>
      <c r="B256" s="13" t="s">
        <v>10</v>
      </c>
      <c r="C256" s="14">
        <f>C254*C255</f>
        <v>12</v>
      </c>
      <c r="D256" s="86">
        <v>564</v>
      </c>
      <c r="E256" s="14">
        <f>C256*D256</f>
        <v>6768</v>
      </c>
      <c r="I256" s="84"/>
      <c r="J256" s="84"/>
    </row>
    <row r="257" spans="1:10" x14ac:dyDescent="0.2">
      <c r="A257" s="15" t="s">
        <v>89</v>
      </c>
      <c r="B257" s="16" t="s">
        <v>25</v>
      </c>
      <c r="C257" s="98">
        <v>80000</v>
      </c>
      <c r="D257" s="17">
        <f>E254+E256</f>
        <v>19668</v>
      </c>
      <c r="E257" s="17">
        <f>IFERROR(D257/C257,"-")</f>
        <v>0.24585000000000001</v>
      </c>
      <c r="I257" s="84"/>
      <c r="J257" s="84"/>
    </row>
    <row r="258" spans="1:10" ht="13.5" thickBot="1" x14ac:dyDescent="0.25">
      <c r="A258" s="15" t="s">
        <v>52</v>
      </c>
      <c r="B258" s="16" t="s">
        <v>17</v>
      </c>
      <c r="C258" s="17">
        <f>B229</f>
        <v>180</v>
      </c>
      <c r="D258" s="17">
        <f>E257</f>
        <v>0.24585000000000001</v>
      </c>
      <c r="E258" s="17">
        <f>IFERROR(C258*D258,0)</f>
        <v>44.253</v>
      </c>
      <c r="I258" s="84"/>
      <c r="J258" s="84"/>
    </row>
    <row r="259" spans="1:10" ht="13.5" thickBot="1" x14ac:dyDescent="0.25">
      <c r="F259" s="20">
        <f>E258</f>
        <v>44.253</v>
      </c>
      <c r="I259" s="84"/>
      <c r="J259" s="84"/>
    </row>
    <row r="260" spans="1:10" ht="11.25" customHeight="1" x14ac:dyDescent="0.2">
      <c r="I260" s="84"/>
      <c r="J260" s="84"/>
    </row>
    <row r="261" spans="1:10" ht="11.25" customHeight="1" thickBot="1" x14ac:dyDescent="0.25">
      <c r="G261" s="8"/>
    </row>
    <row r="262" spans="1:10" ht="13.5" thickBot="1" x14ac:dyDescent="0.25">
      <c r="A262" s="23" t="s">
        <v>212</v>
      </c>
      <c r="B262" s="24"/>
      <c r="C262" s="24"/>
      <c r="D262" s="25"/>
      <c r="E262" s="26"/>
      <c r="F262" s="20">
        <f>+SUM(F188:F261)</f>
        <v>415.02863428050421</v>
      </c>
      <c r="G262" s="8"/>
    </row>
    <row r="263" spans="1:10" ht="11.25" customHeight="1" x14ac:dyDescent="0.2">
      <c r="G263" s="8"/>
    </row>
    <row r="264" spans="1:10" ht="13.5" thickBot="1" x14ac:dyDescent="0.25">
      <c r="A264" s="33" t="s">
        <v>346</v>
      </c>
      <c r="B264" s="33"/>
      <c r="C264" s="33"/>
      <c r="D264" s="34"/>
      <c r="E264" s="34"/>
      <c r="F264" s="32"/>
      <c r="G264" s="8"/>
    </row>
    <row r="265" spans="1:10" ht="11.25" hidden="1" customHeight="1" thickBot="1" x14ac:dyDescent="0.25">
      <c r="G265" s="8"/>
    </row>
    <row r="266" spans="1:10" ht="13.5" thickBot="1" x14ac:dyDescent="0.25">
      <c r="A266" s="59" t="s">
        <v>60</v>
      </c>
      <c r="B266" s="60" t="s">
        <v>61</v>
      </c>
      <c r="C266" s="60" t="s">
        <v>37</v>
      </c>
      <c r="D266" s="61" t="s">
        <v>218</v>
      </c>
      <c r="E266" s="61" t="s">
        <v>62</v>
      </c>
      <c r="F266" s="62" t="s">
        <v>63</v>
      </c>
      <c r="G266" s="8"/>
    </row>
    <row r="267" spans="1:10" hidden="1" x14ac:dyDescent="0.2">
      <c r="A267" s="15" t="s">
        <v>68</v>
      </c>
      <c r="B267" s="16" t="s">
        <v>10</v>
      </c>
      <c r="C267" s="100">
        <v>0.16666666666666666</v>
      </c>
      <c r="D267" s="86">
        <v>0</v>
      </c>
      <c r="E267" s="17">
        <f>C267*D267</f>
        <v>0</v>
      </c>
      <c r="F267" s="54"/>
      <c r="G267" s="8"/>
    </row>
    <row r="268" spans="1:10" hidden="1" x14ac:dyDescent="0.2">
      <c r="A268" s="15" t="s">
        <v>26</v>
      </c>
      <c r="B268" s="16" t="s">
        <v>10</v>
      </c>
      <c r="C268" s="100">
        <v>0.16666666666666666</v>
      </c>
      <c r="D268" s="86">
        <v>0</v>
      </c>
      <c r="E268" s="17">
        <f>C268*D268</f>
        <v>0</v>
      </c>
      <c r="F268" s="54"/>
      <c r="G268" s="8"/>
    </row>
    <row r="269" spans="1:10" x14ac:dyDescent="0.2">
      <c r="A269" s="314" t="s">
        <v>330</v>
      </c>
      <c r="B269" s="341" t="s">
        <v>331</v>
      </c>
      <c r="C269" s="372">
        <f>Litros!D7</f>
        <v>270</v>
      </c>
      <c r="D269" s="86">
        <v>0.35</v>
      </c>
      <c r="E269" s="17">
        <f>C269*D269</f>
        <v>94.5</v>
      </c>
      <c r="F269" s="54"/>
      <c r="G269" s="8"/>
    </row>
    <row r="270" spans="1:10" ht="13.5" thickBot="1" x14ac:dyDescent="0.25">
      <c r="A270" s="314" t="s">
        <v>332</v>
      </c>
      <c r="B270" s="341" t="s">
        <v>331</v>
      </c>
      <c r="C270" s="371">
        <f>Litros!D8</f>
        <v>30</v>
      </c>
      <c r="D270" s="88">
        <v>0.35</v>
      </c>
      <c r="E270" s="17">
        <f>C270*D270</f>
        <v>10.5</v>
      </c>
      <c r="F270" s="54"/>
      <c r="G270" s="8"/>
    </row>
    <row r="271" spans="1:10" ht="13.5" hidden="1" thickBot="1" x14ac:dyDescent="0.25">
      <c r="A271" s="15" t="s">
        <v>56</v>
      </c>
      <c r="B271" s="16" t="s">
        <v>54</v>
      </c>
      <c r="C271" s="100"/>
      <c r="D271" s="86"/>
      <c r="E271" s="17">
        <f>C271*D271</f>
        <v>0</v>
      </c>
      <c r="F271" s="54"/>
      <c r="G271" s="8"/>
    </row>
    <row r="272" spans="1:10" ht="13.5" thickBot="1" x14ac:dyDescent="0.25">
      <c r="A272" s="33"/>
      <c r="B272" s="33"/>
      <c r="C272" s="33"/>
      <c r="D272" s="33"/>
      <c r="E272" s="34"/>
      <c r="F272" s="20">
        <f>SUM(E267:E271)</f>
        <v>105</v>
      </c>
      <c r="G272" s="8"/>
    </row>
    <row r="273" spans="1:7" ht="11.25" customHeight="1" thickBot="1" x14ac:dyDescent="0.25">
      <c r="G273" s="8"/>
    </row>
    <row r="274" spans="1:7" ht="13.5" thickBot="1" x14ac:dyDescent="0.25">
      <c r="A274" s="23" t="s">
        <v>213</v>
      </c>
      <c r="B274" s="24"/>
      <c r="C274" s="24"/>
      <c r="D274" s="25"/>
      <c r="E274" s="26"/>
      <c r="F274" s="20">
        <f>+F272</f>
        <v>105</v>
      </c>
      <c r="G274" s="8"/>
    </row>
    <row r="275" spans="1:7" ht="11.25" customHeight="1" x14ac:dyDescent="0.2">
      <c r="G275" s="8"/>
    </row>
    <row r="276" spans="1:7" ht="13.5" hidden="1" thickBot="1" x14ac:dyDescent="0.25">
      <c r="A276" s="33" t="s">
        <v>302</v>
      </c>
      <c r="B276" s="33"/>
      <c r="C276" s="33"/>
      <c r="D276" s="34"/>
      <c r="E276" s="34"/>
      <c r="F276" s="32"/>
    </row>
    <row r="277" spans="1:7" ht="11.25" hidden="1" customHeight="1" thickBot="1" x14ac:dyDescent="0.25"/>
    <row r="278" spans="1:7" ht="13.5" hidden="1" thickBot="1" x14ac:dyDescent="0.25">
      <c r="A278" s="59" t="s">
        <v>60</v>
      </c>
      <c r="B278" s="60" t="s">
        <v>61</v>
      </c>
      <c r="C278" s="60" t="s">
        <v>37</v>
      </c>
      <c r="D278" s="61" t="s">
        <v>218</v>
      </c>
      <c r="E278" s="61" t="s">
        <v>62</v>
      </c>
      <c r="F278" s="62" t="s">
        <v>63</v>
      </c>
    </row>
    <row r="279" spans="1:7" hidden="1" x14ac:dyDescent="0.2">
      <c r="A279" s="15" t="s">
        <v>211</v>
      </c>
      <c r="B279" s="52" t="s">
        <v>54</v>
      </c>
      <c r="C279" s="68">
        <f>C188</f>
        <v>1</v>
      </c>
      <c r="D279" s="88">
        <v>0</v>
      </c>
      <c r="E279" s="17">
        <f>+D279*C279</f>
        <v>0</v>
      </c>
      <c r="F279" s="54"/>
    </row>
    <row r="280" spans="1:7" hidden="1" x14ac:dyDescent="0.2">
      <c r="A280" s="15" t="s">
        <v>57</v>
      </c>
      <c r="B280" s="52" t="s">
        <v>8</v>
      </c>
      <c r="C280" s="154">
        <v>60</v>
      </c>
      <c r="D280" s="79">
        <f>SUM(E279:E279)</f>
        <v>0</v>
      </c>
      <c r="E280" s="79">
        <f>+D280/C280</f>
        <v>0</v>
      </c>
      <c r="F280" s="54"/>
    </row>
    <row r="281" spans="1:7" hidden="1" x14ac:dyDescent="0.2">
      <c r="A281" s="15" t="s">
        <v>34</v>
      </c>
      <c r="B281" s="52" t="s">
        <v>8</v>
      </c>
      <c r="C281" s="154">
        <v>1</v>
      </c>
      <c r="D281" s="88">
        <v>0</v>
      </c>
      <c r="E281" s="17">
        <f>C281*D281</f>
        <v>0</v>
      </c>
      <c r="F281" s="54"/>
    </row>
    <row r="282" spans="1:7" ht="13.5" hidden="1" thickBot="1" x14ac:dyDescent="0.25">
      <c r="A282" s="15" t="s">
        <v>34</v>
      </c>
      <c r="B282" s="52" t="s">
        <v>8</v>
      </c>
      <c r="C282" s="154">
        <v>1</v>
      </c>
      <c r="D282" s="79">
        <f>+E281</f>
        <v>0</v>
      </c>
      <c r="E282" s="79">
        <f>+D282/C282</f>
        <v>0</v>
      </c>
      <c r="F282" s="54"/>
    </row>
    <row r="283" spans="1:7" ht="13.5" hidden="1" thickBot="1" x14ac:dyDescent="0.25">
      <c r="A283" s="80"/>
      <c r="B283" s="80"/>
      <c r="D283" s="122" t="s">
        <v>182</v>
      </c>
      <c r="E283" s="298">
        <f>E217</f>
        <v>1.7045454545454544E-2</v>
      </c>
      <c r="F283" s="81">
        <f>(E282+E280)*E283</f>
        <v>0</v>
      </c>
    </row>
    <row r="284" spans="1:7" s="50" customFormat="1" ht="11.25" hidden="1" customHeight="1" thickBot="1" x14ac:dyDescent="0.25">
      <c r="A284" s="8"/>
      <c r="B284" s="8"/>
      <c r="C284" s="8"/>
      <c r="D284" s="9"/>
      <c r="E284" s="9"/>
      <c r="F284" s="9"/>
      <c r="G284" s="83"/>
    </row>
    <row r="285" spans="1:7" ht="13.5" hidden="1" thickBot="1" x14ac:dyDescent="0.25">
      <c r="A285" s="23" t="s">
        <v>210</v>
      </c>
      <c r="B285" s="24"/>
      <c r="C285" s="24"/>
      <c r="D285" s="25"/>
      <c r="E285" s="26"/>
      <c r="F285" s="20">
        <f>+F283</f>
        <v>0</v>
      </c>
    </row>
    <row r="286" spans="1:7" ht="11.25" customHeight="1" thickBot="1" x14ac:dyDescent="0.25"/>
    <row r="287" spans="1:7" ht="17.25" customHeight="1" thickBot="1" x14ac:dyDescent="0.25">
      <c r="A287" s="23" t="s">
        <v>214</v>
      </c>
      <c r="B287" s="27"/>
      <c r="C287" s="27"/>
      <c r="D287" s="28"/>
      <c r="E287" s="29"/>
      <c r="F287" s="21">
        <f>+F146+F180+F262+F274+F285</f>
        <v>682.00224752909912</v>
      </c>
    </row>
    <row r="288" spans="1:7" ht="11.25" customHeight="1" x14ac:dyDescent="0.2"/>
    <row r="289" spans="1:6" ht="13.5" thickBot="1" x14ac:dyDescent="0.25">
      <c r="A289" s="10" t="s">
        <v>361</v>
      </c>
    </row>
    <row r="290" spans="1:6" ht="11.25" hidden="1" customHeight="1" thickBot="1" x14ac:dyDescent="0.25"/>
    <row r="291" spans="1:6" ht="13.5" thickBot="1" x14ac:dyDescent="0.25">
      <c r="A291" s="59" t="s">
        <v>60</v>
      </c>
      <c r="B291" s="60" t="s">
        <v>61</v>
      </c>
      <c r="C291" s="60" t="s">
        <v>37</v>
      </c>
      <c r="D291" s="61" t="s">
        <v>218</v>
      </c>
      <c r="E291" s="61" t="s">
        <v>62</v>
      </c>
      <c r="F291" s="62" t="s">
        <v>63</v>
      </c>
    </row>
    <row r="292" spans="1:6" ht="13.5" thickBot="1" x14ac:dyDescent="0.25">
      <c r="A292" s="12" t="s">
        <v>33</v>
      </c>
      <c r="B292" s="13" t="s">
        <v>2</v>
      </c>
      <c r="C292" s="140">
        <f>'5.BDI'!C21*100</f>
        <v>24.990000000000002</v>
      </c>
      <c r="D292" s="14">
        <f>+F287</f>
        <v>682.00224752909912</v>
      </c>
      <c r="E292" s="14">
        <f>C292*D292/100</f>
        <v>170.43236165752188</v>
      </c>
    </row>
    <row r="293" spans="1:6" ht="13.5" thickBot="1" x14ac:dyDescent="0.25">
      <c r="F293" s="20">
        <f>+E292</f>
        <v>170.43236165752188</v>
      </c>
    </row>
    <row r="294" spans="1:6" ht="11.25" customHeight="1" thickBot="1" x14ac:dyDescent="0.25"/>
    <row r="295" spans="1:6" ht="13.5" thickBot="1" x14ac:dyDescent="0.25">
      <c r="A295" s="23" t="s">
        <v>223</v>
      </c>
      <c r="B295" s="27"/>
      <c r="C295" s="27"/>
      <c r="D295" s="28"/>
      <c r="E295" s="29"/>
      <c r="F295" s="21">
        <f>F293</f>
        <v>170.43236165752188</v>
      </c>
    </row>
    <row r="296" spans="1:6" x14ac:dyDescent="0.2">
      <c r="A296" s="33"/>
      <c r="B296" s="33"/>
      <c r="C296" s="33"/>
      <c r="D296" s="34"/>
      <c r="E296" s="34"/>
      <c r="F296" s="32"/>
    </row>
    <row r="297" spans="1:6" ht="11.25" customHeight="1" thickBot="1" x14ac:dyDescent="0.25"/>
    <row r="298" spans="1:6" ht="24.75" customHeight="1" thickBot="1" x14ac:dyDescent="0.25">
      <c r="A298" s="23" t="s">
        <v>215</v>
      </c>
      <c r="B298" s="27"/>
      <c r="C298" s="27"/>
      <c r="D298" s="28"/>
      <c r="E298" s="29"/>
      <c r="F298" s="21">
        <f>F287+F295</f>
        <v>852.43460918662095</v>
      </c>
    </row>
    <row r="299" spans="1:6" ht="12.6" customHeight="1" x14ac:dyDescent="0.2">
      <c r="A299" s="55"/>
      <c r="B299" s="55"/>
      <c r="C299" s="55"/>
      <c r="D299" s="56"/>
      <c r="E299" s="56"/>
      <c r="F299" s="56"/>
    </row>
    <row r="300" spans="1:6" ht="14.25" hidden="1" x14ac:dyDescent="0.2">
      <c r="A300" s="7"/>
      <c r="B300" s="7"/>
      <c r="C300" s="7"/>
      <c r="D300" s="35"/>
      <c r="E300" s="35"/>
    </row>
    <row r="301" spans="1:6" ht="16.149999999999999" hidden="1" customHeight="1" x14ac:dyDescent="0.2">
      <c r="A301" s="247" t="s">
        <v>209</v>
      </c>
      <c r="B301" s="248"/>
      <c r="C301" s="248"/>
      <c r="D301" s="249">
        <f>C269+C270</f>
        <v>300</v>
      </c>
      <c r="E301" s="250" t="s">
        <v>329</v>
      </c>
    </row>
    <row r="302" spans="1:6" ht="13.5" hidden="1" thickBot="1" x14ac:dyDescent="0.25"/>
    <row r="303" spans="1:6" ht="25.5" hidden="1" customHeight="1" thickBot="1" x14ac:dyDescent="0.25">
      <c r="A303" s="23" t="s">
        <v>348</v>
      </c>
      <c r="B303" s="24"/>
      <c r="C303" s="24"/>
      <c r="D303" s="25"/>
      <c r="E303" s="251" t="s">
        <v>347</v>
      </c>
      <c r="F303" s="252">
        <f>IFERROR(F298/D301,"-")</f>
        <v>2.8414486972887363</v>
      </c>
    </row>
    <row r="304" spans="1:6" ht="12.6" hidden="1" customHeight="1" x14ac:dyDescent="0.2">
      <c r="A304" s="33"/>
      <c r="B304" s="33"/>
      <c r="C304" s="33"/>
      <c r="D304" s="34"/>
      <c r="E304" s="34"/>
      <c r="F304" s="34"/>
    </row>
    <row r="305" spans="1:7" s="3" customFormat="1" ht="9.75" customHeight="1" x14ac:dyDescent="0.2">
      <c r="A305" s="38"/>
      <c r="B305" s="9"/>
      <c r="C305" s="9"/>
      <c r="D305" s="9"/>
      <c r="E305" s="9"/>
      <c r="F305" s="9"/>
      <c r="G305" s="5"/>
    </row>
    <row r="306" spans="1:7" s="3" customFormat="1" ht="9.75" customHeight="1" x14ac:dyDescent="0.2">
      <c r="A306" s="38"/>
      <c r="B306" s="9"/>
      <c r="C306" s="9"/>
      <c r="D306" s="9"/>
      <c r="E306" s="9"/>
      <c r="F306" s="9"/>
      <c r="G306" s="5"/>
    </row>
    <row r="307" spans="1:7" s="3" customFormat="1" ht="9.75" customHeight="1" x14ac:dyDescent="0.2">
      <c r="A307" s="38"/>
      <c r="B307" s="9"/>
      <c r="C307" s="9"/>
      <c r="D307" s="9"/>
      <c r="E307" s="9"/>
      <c r="F307" s="9"/>
      <c r="G307" s="5"/>
    </row>
    <row r="337" spans="4:7" ht="9" customHeight="1" x14ac:dyDescent="0.2">
      <c r="D337" s="8"/>
      <c r="E337" s="8"/>
      <c r="F337" s="8"/>
      <c r="G337" s="8"/>
    </row>
  </sheetData>
  <mergeCells count="7">
    <mergeCell ref="A48:D48"/>
    <mergeCell ref="A25:C25"/>
    <mergeCell ref="A12:F12"/>
    <mergeCell ref="A13:F13"/>
    <mergeCell ref="A41:D41"/>
    <mergeCell ref="A15:F15"/>
    <mergeCell ref="A40:E40"/>
  </mergeCells>
  <phoneticPr fontId="21" type="noConversion"/>
  <hyperlinks>
    <hyperlink ref="A203" location="AbaRemun" display="3.1.2. Remuneração do Capital"/>
    <hyperlink ref="A186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5" fitToHeight="4" orientation="portrait" verticalDpi="300" r:id="rId1"/>
  <headerFooter alignWithMargins="0">
    <oddFooter>&amp;R&amp;P de &amp;N</oddFooter>
  </headerFooter>
  <rowBreaks count="2" manualBreakCount="2">
    <brk id="124" max="5" man="1"/>
    <brk id="20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26" sqref="D26"/>
    </sheetView>
  </sheetViews>
  <sheetFormatPr defaultRowHeight="12.75" x14ac:dyDescent="0.2"/>
  <cols>
    <col min="1" max="1" width="11" customWidth="1"/>
    <col min="2" max="2" width="14.28515625" bestFit="1" customWidth="1"/>
    <col min="3" max="3" width="13.28515625" bestFit="1" customWidth="1"/>
    <col min="4" max="4" width="18.85546875" customWidth="1"/>
    <col min="5" max="5" width="13.85546875" customWidth="1"/>
    <col min="8" max="9" width="11.42578125" bestFit="1" customWidth="1"/>
    <col min="10" max="10" width="10.42578125" bestFit="1" customWidth="1"/>
  </cols>
  <sheetData>
    <row r="1" spans="1:5" x14ac:dyDescent="0.2">
      <c r="A1" s="107" t="s">
        <v>360</v>
      </c>
    </row>
    <row r="2" spans="1:5" x14ac:dyDescent="0.2">
      <c r="A2" s="107" t="s">
        <v>349</v>
      </c>
    </row>
    <row r="3" spans="1:5" x14ac:dyDescent="0.2">
      <c r="A3" s="329" t="s">
        <v>267</v>
      </c>
      <c r="B3" s="329" t="s">
        <v>294</v>
      </c>
      <c r="C3" s="329"/>
      <c r="D3" s="329"/>
      <c r="E3" s="329" t="s">
        <v>307</v>
      </c>
    </row>
    <row r="4" spans="1:5" x14ac:dyDescent="0.2">
      <c r="A4" s="330">
        <v>1</v>
      </c>
      <c r="B4" s="331" t="s">
        <v>306</v>
      </c>
      <c r="C4" s="332"/>
      <c r="D4" s="331"/>
      <c r="E4" s="333">
        <f>'1. Coleta Resíduos Saúde'!F298</f>
        <v>852.43460918662095</v>
      </c>
    </row>
    <row r="5" spans="1:5" x14ac:dyDescent="0.2">
      <c r="A5" s="330"/>
      <c r="B5" s="331"/>
      <c r="C5" s="332"/>
      <c r="D5" s="331"/>
      <c r="E5" s="333"/>
    </row>
    <row r="6" spans="1:5" x14ac:dyDescent="0.2">
      <c r="A6" s="334" t="s">
        <v>295</v>
      </c>
      <c r="B6" s="334"/>
      <c r="C6" s="335"/>
      <c r="D6" s="334"/>
      <c r="E6" s="336">
        <f>SUM(E4:E5)</f>
        <v>852.43460918662095</v>
      </c>
    </row>
    <row r="8" spans="1:5" hidden="1" x14ac:dyDescent="0.2">
      <c r="A8" s="334" t="s">
        <v>296</v>
      </c>
      <c r="B8" s="331"/>
      <c r="C8" s="342"/>
      <c r="D8" s="342"/>
    </row>
    <row r="9" spans="1:5" hidden="1" x14ac:dyDescent="0.2">
      <c r="A9" s="333">
        <v>10</v>
      </c>
      <c r="B9" s="337" t="s">
        <v>75</v>
      </c>
      <c r="C9" s="342"/>
      <c r="D9" s="342"/>
    </row>
    <row r="10" spans="1:5" hidden="1" x14ac:dyDescent="0.2">
      <c r="A10" s="333">
        <v>5</v>
      </c>
      <c r="B10" s="337" t="s">
        <v>297</v>
      </c>
      <c r="C10" s="342"/>
      <c r="D10" s="342"/>
    </row>
    <row r="11" spans="1:5" hidden="1" x14ac:dyDescent="0.2">
      <c r="A11" s="333">
        <v>5</v>
      </c>
      <c r="B11" s="337" t="s">
        <v>298</v>
      </c>
      <c r="C11" s="342"/>
      <c r="D11" s="342"/>
    </row>
    <row r="12" spans="1:5" hidden="1" x14ac:dyDescent="0.2">
      <c r="A12" s="340">
        <f>SUM(A9:A11)</f>
        <v>20</v>
      </c>
      <c r="B12" s="337" t="s">
        <v>299</v>
      </c>
      <c r="C12" s="342"/>
      <c r="D12" s="342"/>
    </row>
    <row r="13" spans="1:5" hidden="1" x14ac:dyDescent="0.2">
      <c r="A13" s="338">
        <f>E6*A12/100</f>
        <v>170.48692183732419</v>
      </c>
      <c r="B13" s="339" t="s">
        <v>300</v>
      </c>
      <c r="C13" s="343"/>
      <c r="D13" s="342"/>
    </row>
    <row r="14" spans="1:5" hidden="1" x14ac:dyDescent="0.2">
      <c r="A14" s="331"/>
      <c r="B14" s="335"/>
      <c r="C14" s="344"/>
      <c r="D14" s="344"/>
    </row>
    <row r="15" spans="1:5" hidden="1" x14ac:dyDescent="0.2"/>
    <row r="16" spans="1:5" hidden="1" x14ac:dyDescent="0.2"/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20" workbookViewId="0">
      <selection activeCell="A27" sqref="A27"/>
    </sheetView>
  </sheetViews>
  <sheetFormatPr defaultColWidth="9.140625" defaultRowHeight="12.75" x14ac:dyDescent="0.2"/>
  <cols>
    <col min="1" max="1" width="13.5703125" style="1" customWidth="1"/>
    <col min="2" max="2" width="39.5703125" style="1" bestFit="1" customWidth="1"/>
    <col min="3" max="3" width="20.85546875" style="1" customWidth="1"/>
    <col min="4" max="4" width="37.28515625" style="157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0" t="s">
        <v>189</v>
      </c>
    </row>
    <row r="2" spans="1:12" x14ac:dyDescent="0.2">
      <c r="A2" s="139" t="s">
        <v>230</v>
      </c>
    </row>
    <row r="3" spans="1:12" s="3" customFormat="1" ht="15.6" customHeight="1" x14ac:dyDescent="0.2">
      <c r="B3" s="138"/>
      <c r="C3" s="138"/>
      <c r="D3" s="138"/>
      <c r="E3" s="138"/>
      <c r="F3" s="138"/>
      <c r="G3" s="5"/>
    </row>
    <row r="4" spans="1:12" s="3" customFormat="1" ht="15.6" hidden="1" customHeight="1" x14ac:dyDescent="0.2">
      <c r="A4" s="281" t="s">
        <v>256</v>
      </c>
      <c r="B4" s="138"/>
      <c r="C4" s="138"/>
      <c r="D4" s="138"/>
      <c r="E4" s="138"/>
      <c r="F4" s="138"/>
      <c r="G4" s="5"/>
    </row>
    <row r="5" spans="1:12" s="3" customFormat="1" ht="16.5" customHeight="1" x14ac:dyDescent="0.2">
      <c r="A5" s="319" t="s">
        <v>265</v>
      </c>
      <c r="B5" s="4"/>
      <c r="C5" s="4"/>
      <c r="D5" s="5"/>
      <c r="E5" s="5"/>
      <c r="F5" s="5"/>
      <c r="G5" s="5"/>
    </row>
    <row r="6" spans="1:12" s="3" customFormat="1" ht="16.5" customHeight="1" x14ac:dyDescent="0.2">
      <c r="A6" s="319" t="s">
        <v>266</v>
      </c>
      <c r="B6" s="4"/>
      <c r="C6" s="4"/>
      <c r="D6" s="5"/>
      <c r="E6" s="5"/>
      <c r="F6" s="5"/>
      <c r="G6" s="5"/>
    </row>
    <row r="7" spans="1:12" ht="13.5" thickBot="1" x14ac:dyDescent="0.25"/>
    <row r="8" spans="1:12" ht="18" x14ac:dyDescent="0.2">
      <c r="A8" s="401" t="s">
        <v>217</v>
      </c>
      <c r="B8" s="402"/>
      <c r="C8" s="403"/>
      <c r="D8" s="149"/>
      <c r="E8" s="149"/>
      <c r="F8" s="149"/>
    </row>
    <row r="9" spans="1:12" ht="14.25" x14ac:dyDescent="0.2">
      <c r="A9" s="168" t="s">
        <v>128</v>
      </c>
      <c r="B9" s="169" t="s">
        <v>129</v>
      </c>
      <c r="C9" s="170" t="s">
        <v>130</v>
      </c>
      <c r="D9" s="171"/>
    </row>
    <row r="10" spans="1:12" ht="14.25" x14ac:dyDescent="0.2">
      <c r="A10" s="168" t="s">
        <v>131</v>
      </c>
      <c r="B10" s="169" t="s">
        <v>38</v>
      </c>
      <c r="C10" s="172">
        <v>0.2</v>
      </c>
      <c r="D10" s="171"/>
      <c r="F10" s="157"/>
      <c r="G10" s="157"/>
      <c r="H10" s="157"/>
      <c r="I10" s="157"/>
      <c r="J10" s="157"/>
      <c r="K10" s="157"/>
      <c r="L10" s="157"/>
    </row>
    <row r="11" spans="1:12" ht="14.25" x14ac:dyDescent="0.2">
      <c r="A11" s="168" t="s">
        <v>132</v>
      </c>
      <c r="B11" s="169" t="s">
        <v>133</v>
      </c>
      <c r="C11" s="172">
        <v>1.4999999999999999E-2</v>
      </c>
      <c r="D11" s="171"/>
      <c r="F11" s="157"/>
      <c r="G11" s="157"/>
      <c r="H11" s="157"/>
      <c r="I11" s="157"/>
      <c r="J11" s="157"/>
      <c r="K11" s="157"/>
      <c r="L11" s="157"/>
    </row>
    <row r="12" spans="1:12" ht="14.25" x14ac:dyDescent="0.2">
      <c r="A12" s="168" t="s">
        <v>134</v>
      </c>
      <c r="B12" s="169" t="s">
        <v>135</v>
      </c>
      <c r="C12" s="172">
        <v>0.01</v>
      </c>
      <c r="D12" s="171"/>
      <c r="F12" s="157"/>
      <c r="G12" s="157"/>
      <c r="H12" s="157"/>
      <c r="I12" s="157"/>
      <c r="J12" s="157"/>
      <c r="K12" s="157"/>
      <c r="L12" s="157"/>
    </row>
    <row r="13" spans="1:12" ht="14.25" x14ac:dyDescent="0.2">
      <c r="A13" s="168" t="s">
        <v>136</v>
      </c>
      <c r="B13" s="169" t="s">
        <v>137</v>
      </c>
      <c r="C13" s="172">
        <v>2E-3</v>
      </c>
      <c r="D13" s="171"/>
      <c r="F13" s="157"/>
      <c r="G13" s="157"/>
      <c r="H13" s="157"/>
      <c r="I13" s="157"/>
      <c r="J13" s="157"/>
      <c r="K13" s="157"/>
      <c r="L13" s="157"/>
    </row>
    <row r="14" spans="1:12" ht="14.25" x14ac:dyDescent="0.2">
      <c r="A14" s="168" t="s">
        <v>138</v>
      </c>
      <c r="B14" s="169" t="s">
        <v>139</v>
      </c>
      <c r="C14" s="172">
        <v>6.0000000000000001E-3</v>
      </c>
      <c r="D14" s="171"/>
      <c r="F14" s="157"/>
      <c r="G14" s="157"/>
      <c r="H14" s="157"/>
      <c r="I14" s="157"/>
      <c r="J14" s="157"/>
      <c r="K14" s="157"/>
      <c r="L14" s="157"/>
    </row>
    <row r="15" spans="1:12" ht="14.25" x14ac:dyDescent="0.2">
      <c r="A15" s="168" t="s">
        <v>140</v>
      </c>
      <c r="B15" s="169" t="s">
        <v>141</v>
      </c>
      <c r="C15" s="172">
        <v>2.5000000000000001E-2</v>
      </c>
      <c r="D15" s="171"/>
      <c r="F15" s="157"/>
      <c r="G15" s="157"/>
      <c r="H15" s="157"/>
      <c r="I15" s="157"/>
      <c r="J15" s="157"/>
      <c r="K15" s="157"/>
      <c r="L15" s="157"/>
    </row>
    <row r="16" spans="1:12" ht="14.25" x14ac:dyDescent="0.2">
      <c r="A16" s="168" t="s">
        <v>142</v>
      </c>
      <c r="B16" s="169" t="s">
        <v>143</v>
      </c>
      <c r="C16" s="172">
        <v>0.03</v>
      </c>
      <c r="D16" s="171"/>
      <c r="F16" s="157"/>
      <c r="G16" s="157"/>
      <c r="H16" s="157"/>
      <c r="I16" s="157"/>
      <c r="J16" s="157"/>
      <c r="K16" s="157"/>
      <c r="L16" s="157"/>
    </row>
    <row r="17" spans="1:12" ht="14.25" x14ac:dyDescent="0.2">
      <c r="A17" s="168" t="s">
        <v>144</v>
      </c>
      <c r="B17" s="169" t="s">
        <v>39</v>
      </c>
      <c r="C17" s="172">
        <v>0.08</v>
      </c>
      <c r="D17" s="173"/>
      <c r="F17" s="157"/>
      <c r="G17" s="157"/>
      <c r="H17" s="157"/>
      <c r="I17" s="157"/>
      <c r="J17" s="157"/>
      <c r="K17" s="157"/>
      <c r="L17" s="157"/>
    </row>
    <row r="18" spans="1:12" ht="15" x14ac:dyDescent="0.2">
      <c r="A18" s="168" t="s">
        <v>145</v>
      </c>
      <c r="B18" s="174" t="s">
        <v>146</v>
      </c>
      <c r="C18" s="175">
        <f>SUM(C10:C17)</f>
        <v>0.36800000000000005</v>
      </c>
      <c r="D18" s="173"/>
      <c r="F18" s="157"/>
      <c r="G18" s="157"/>
      <c r="H18" s="157"/>
      <c r="I18" s="157"/>
      <c r="J18" s="157"/>
      <c r="K18" s="157"/>
      <c r="L18" s="157"/>
    </row>
    <row r="19" spans="1:12" ht="15" x14ac:dyDescent="0.2">
      <c r="A19" s="176"/>
      <c r="B19" s="177"/>
      <c r="C19" s="178"/>
      <c r="D19" s="173"/>
      <c r="F19" s="157"/>
      <c r="G19" s="157"/>
      <c r="H19" s="157"/>
      <c r="I19" s="157"/>
      <c r="J19" s="157"/>
      <c r="K19" s="157"/>
      <c r="L19" s="157"/>
    </row>
    <row r="20" spans="1:12" ht="14.25" x14ac:dyDescent="0.2">
      <c r="A20" s="168" t="s">
        <v>147</v>
      </c>
      <c r="B20" s="179" t="s">
        <v>148</v>
      </c>
      <c r="C20" s="172">
        <f>ROUND(IF('4.CAGED'!C32&gt;24,(1-12/'4.CAGED'!C32)*0.1111,0.1111-C29),4)</f>
        <v>6.5699999999999995E-2</v>
      </c>
      <c r="D20" s="173"/>
      <c r="F20" s="157"/>
      <c r="G20" s="157"/>
      <c r="H20" s="157"/>
      <c r="I20" s="157"/>
      <c r="J20" s="157"/>
      <c r="K20" s="157"/>
      <c r="L20" s="157"/>
    </row>
    <row r="21" spans="1:12" ht="14.25" x14ac:dyDescent="0.2">
      <c r="A21" s="168" t="s">
        <v>149</v>
      </c>
      <c r="B21" s="179" t="s">
        <v>150</v>
      </c>
      <c r="C21" s="172">
        <f>ROUND('4.CAGED'!C36/'4.CAGED'!C33,4)</f>
        <v>8.3299999999999999E-2</v>
      </c>
      <c r="D21" s="173"/>
      <c r="F21" s="157"/>
      <c r="G21" s="157"/>
      <c r="H21" s="157"/>
      <c r="I21" s="157"/>
      <c r="J21" s="157"/>
      <c r="K21" s="157"/>
      <c r="L21" s="157"/>
    </row>
    <row r="22" spans="1:12" ht="14.25" x14ac:dyDescent="0.2">
      <c r="A22" s="168" t="s">
        <v>208</v>
      </c>
      <c r="B22" s="179" t="s">
        <v>152</v>
      </c>
      <c r="C22" s="172">
        <v>5.9999999999999995E-4</v>
      </c>
      <c r="D22" s="173"/>
      <c r="F22" s="157"/>
      <c r="G22" s="157"/>
      <c r="H22" s="157"/>
      <c r="I22" s="157"/>
      <c r="J22" s="157"/>
      <c r="K22" s="157"/>
      <c r="L22" s="157"/>
    </row>
    <row r="23" spans="1:12" ht="14.25" x14ac:dyDescent="0.2">
      <c r="A23" s="168" t="s">
        <v>151</v>
      </c>
      <c r="B23" s="179" t="s">
        <v>154</v>
      </c>
      <c r="C23" s="172">
        <v>8.2000000000000007E-3</v>
      </c>
      <c r="D23" s="173"/>
      <c r="F23" s="157"/>
      <c r="G23" s="157"/>
      <c r="H23" s="157"/>
      <c r="I23" s="157"/>
      <c r="J23" s="157"/>
      <c r="K23" s="157"/>
      <c r="L23" s="157"/>
    </row>
    <row r="24" spans="1:12" ht="14.25" x14ac:dyDescent="0.2">
      <c r="A24" s="168" t="s">
        <v>153</v>
      </c>
      <c r="B24" s="179" t="s">
        <v>156</v>
      </c>
      <c r="C24" s="172">
        <v>3.0999999999999999E-3</v>
      </c>
      <c r="D24" s="173"/>
      <c r="F24" s="157"/>
      <c r="G24" s="157"/>
      <c r="H24" s="157"/>
      <c r="I24" s="157"/>
      <c r="J24" s="157"/>
      <c r="K24" s="157"/>
      <c r="L24" s="157"/>
    </row>
    <row r="25" spans="1:12" ht="14.25" x14ac:dyDescent="0.2">
      <c r="A25" s="168" t="s">
        <v>155</v>
      </c>
      <c r="B25" s="179" t="s">
        <v>157</v>
      </c>
      <c r="C25" s="172">
        <v>1.66E-2</v>
      </c>
      <c r="D25" s="173"/>
      <c r="F25" s="157"/>
      <c r="G25" s="157"/>
      <c r="H25" s="157"/>
      <c r="I25" s="157"/>
      <c r="J25" s="157"/>
      <c r="K25" s="157"/>
      <c r="L25" s="157"/>
    </row>
    <row r="26" spans="1:12" ht="15" x14ac:dyDescent="0.2">
      <c r="A26" s="168" t="s">
        <v>158</v>
      </c>
      <c r="B26" s="174" t="s">
        <v>159</v>
      </c>
      <c r="C26" s="175">
        <f>SUM(C20:C25)</f>
        <v>0.17749999999999999</v>
      </c>
      <c r="D26" s="180"/>
      <c r="F26" s="157"/>
      <c r="G26" s="157"/>
      <c r="H26" s="157"/>
      <c r="I26" s="157"/>
      <c r="J26" s="157"/>
      <c r="K26" s="157"/>
      <c r="L26" s="157"/>
    </row>
    <row r="27" spans="1:12" ht="15" x14ac:dyDescent="0.2">
      <c r="A27" s="176"/>
      <c r="B27" s="177"/>
      <c r="C27" s="178"/>
      <c r="D27" s="180"/>
      <c r="F27" s="157"/>
      <c r="G27" s="157"/>
      <c r="H27" s="157"/>
      <c r="I27" s="157"/>
      <c r="J27" s="157"/>
      <c r="K27" s="157"/>
      <c r="L27" s="157"/>
    </row>
    <row r="28" spans="1:12" ht="14.25" x14ac:dyDescent="0.2">
      <c r="A28" s="168" t="s">
        <v>160</v>
      </c>
      <c r="B28" s="169" t="s">
        <v>161</v>
      </c>
      <c r="C28" s="172">
        <f>ROUND(('4.CAGED'!C37) *'4.CAGED'!C30/'4.CAGED'!C33,4)</f>
        <v>2.9000000000000001E-2</v>
      </c>
      <c r="D28" s="173"/>
      <c r="E28" s="181"/>
      <c r="F28" s="157"/>
      <c r="G28" s="157"/>
      <c r="H28" s="157"/>
      <c r="I28" s="157"/>
      <c r="J28" s="157"/>
      <c r="K28" s="157"/>
      <c r="L28" s="157"/>
    </row>
    <row r="29" spans="1:12" ht="14.25" x14ac:dyDescent="0.2">
      <c r="A29" s="168" t="s">
        <v>207</v>
      </c>
      <c r="B29" s="169" t="s">
        <v>163</v>
      </c>
      <c r="C29" s="172">
        <f>ROUND(IF('4.CAGED'!C32&gt;12,12/'4.CAGED'!C32*0.1111,0.1111),4)</f>
        <v>4.5400000000000003E-2</v>
      </c>
      <c r="D29" s="173"/>
      <c r="F29" s="157"/>
      <c r="G29" s="157"/>
      <c r="H29" s="182"/>
      <c r="I29" s="157"/>
      <c r="J29" s="157"/>
      <c r="K29" s="157"/>
      <c r="L29" s="157"/>
    </row>
    <row r="30" spans="1:12" ht="14.25" x14ac:dyDescent="0.2">
      <c r="A30" s="168" t="s">
        <v>162</v>
      </c>
      <c r="B30" s="169" t="s">
        <v>165</v>
      </c>
      <c r="C30" s="172">
        <f>C28*C29</f>
        <v>1.3166000000000002E-3</v>
      </c>
      <c r="D30" s="173"/>
      <c r="E30" s="181"/>
      <c r="F30" s="157"/>
      <c r="G30" s="157"/>
      <c r="H30" s="157"/>
      <c r="I30" s="157"/>
      <c r="J30" s="157"/>
      <c r="K30" s="157"/>
      <c r="L30" s="157"/>
    </row>
    <row r="31" spans="1:12" ht="14.25" x14ac:dyDescent="0.2">
      <c r="A31" s="168" t="s">
        <v>164</v>
      </c>
      <c r="B31" s="169" t="s">
        <v>167</v>
      </c>
      <c r="C31" s="172">
        <f>ROUND(('4.CAGED'!C33+'4.CAGED'!C34+'4.CAGED'!C36)/'4.CAGED'!C31*'4.CAGED'!C38*'4.CAGED'!C39*'4.CAGED'!C30/'4.CAGED'!C33,4)</f>
        <v>2.52E-2</v>
      </c>
      <c r="D31" s="173"/>
      <c r="F31" s="157"/>
      <c r="G31" s="183"/>
      <c r="H31" s="157"/>
      <c r="I31" s="157"/>
      <c r="J31" s="157"/>
      <c r="K31" s="157"/>
      <c r="L31" s="157"/>
    </row>
    <row r="32" spans="1:12" ht="14.25" x14ac:dyDescent="0.2">
      <c r="A32" s="168" t="s">
        <v>166</v>
      </c>
      <c r="B32" s="169" t="s">
        <v>168</v>
      </c>
      <c r="C32" s="172">
        <f>ROUND(('4.CAGED'!C35/'4.CAGED'!C33)*'4.CAGED'!C30/12,4)</f>
        <v>2E-3</v>
      </c>
      <c r="D32" s="173"/>
      <c r="F32" s="157"/>
      <c r="G32" s="157"/>
      <c r="H32" s="157"/>
      <c r="I32" s="157"/>
      <c r="J32" s="157"/>
      <c r="K32" s="157"/>
      <c r="L32" s="157"/>
    </row>
    <row r="33" spans="1:12" ht="15" x14ac:dyDescent="0.2">
      <c r="A33" s="168" t="s">
        <v>169</v>
      </c>
      <c r="B33" s="174" t="s">
        <v>170</v>
      </c>
      <c r="C33" s="175">
        <f>SUM(C28:C32)</f>
        <v>0.10291660000000001</v>
      </c>
      <c r="D33" s="180"/>
      <c r="F33" s="157"/>
      <c r="G33" s="157"/>
      <c r="H33" s="157"/>
      <c r="I33" s="157"/>
      <c r="J33" s="157"/>
      <c r="K33" s="157"/>
      <c r="L33" s="157"/>
    </row>
    <row r="34" spans="1:12" ht="15" x14ac:dyDescent="0.2">
      <c r="A34" s="176"/>
      <c r="B34" s="177"/>
      <c r="C34" s="178"/>
      <c r="D34" s="180"/>
      <c r="F34" s="157"/>
      <c r="G34" s="157"/>
      <c r="H34" s="157"/>
      <c r="I34" s="157"/>
      <c r="J34" s="157"/>
      <c r="K34" s="157"/>
      <c r="L34" s="157"/>
    </row>
    <row r="35" spans="1:12" ht="14.25" x14ac:dyDescent="0.2">
      <c r="A35" s="168" t="s">
        <v>171</v>
      </c>
      <c r="B35" s="169" t="s">
        <v>172</v>
      </c>
      <c r="C35" s="172">
        <f>ROUND(C18*C26,4)</f>
        <v>6.5299999999999997E-2</v>
      </c>
      <c r="D35" s="173"/>
      <c r="F35" s="157"/>
      <c r="G35" s="157"/>
      <c r="H35" s="157"/>
      <c r="I35" s="157"/>
      <c r="J35" s="157"/>
      <c r="K35" s="157"/>
      <c r="L35" s="157"/>
    </row>
    <row r="36" spans="1:12" ht="28.5" x14ac:dyDescent="0.2">
      <c r="A36" s="168" t="s">
        <v>173</v>
      </c>
      <c r="B36" s="184" t="s">
        <v>252</v>
      </c>
      <c r="C36" s="172">
        <f>ROUND((C28*C17),4)</f>
        <v>2.3E-3</v>
      </c>
      <c r="D36" s="173"/>
      <c r="F36" s="157"/>
      <c r="G36" s="157"/>
      <c r="H36" s="157"/>
      <c r="I36" s="157"/>
      <c r="J36" s="157"/>
      <c r="K36" s="157"/>
      <c r="L36" s="157"/>
    </row>
    <row r="37" spans="1:12" ht="15" x14ac:dyDescent="0.2">
      <c r="A37" s="168" t="s">
        <v>174</v>
      </c>
      <c r="B37" s="174" t="s">
        <v>175</v>
      </c>
      <c r="C37" s="175">
        <f>SUM(C35:C36)</f>
        <v>6.7599999999999993E-2</v>
      </c>
      <c r="D37" s="185"/>
      <c r="F37" s="157"/>
      <c r="G37" s="157"/>
      <c r="H37" s="157"/>
      <c r="I37" s="157"/>
      <c r="J37" s="157"/>
      <c r="K37" s="157"/>
      <c r="L37" s="157"/>
    </row>
    <row r="38" spans="1:12" ht="15.75" thickBot="1" x14ac:dyDescent="0.25">
      <c r="A38" s="186"/>
      <c r="B38" s="187" t="s">
        <v>176</v>
      </c>
      <c r="C38" s="188">
        <f>C37+C33+C26+C18</f>
        <v>0.71601660000000011</v>
      </c>
      <c r="D38" s="185"/>
      <c r="F38" s="157"/>
      <c r="G38" s="157"/>
      <c r="H38" s="157"/>
      <c r="I38" s="157"/>
      <c r="J38" s="157"/>
      <c r="K38" s="157"/>
      <c r="L38" s="157"/>
    </row>
    <row r="39" spans="1:12" ht="15" x14ac:dyDescent="0.2">
      <c r="A39" s="173"/>
      <c r="B39" s="189"/>
      <c r="C39" s="190"/>
      <c r="D39" s="191"/>
      <c r="F39" s="157"/>
      <c r="G39" s="157"/>
      <c r="H39" s="157"/>
      <c r="I39" s="157"/>
      <c r="J39" s="157"/>
      <c r="K39" s="157"/>
      <c r="L39" s="157"/>
    </row>
    <row r="40" spans="1:12" ht="14.25" x14ac:dyDescent="0.2">
      <c r="A40" s="173"/>
      <c r="B40" s="173"/>
      <c r="C40" s="192"/>
      <c r="D40" s="193"/>
      <c r="F40" s="157"/>
      <c r="G40" s="157"/>
      <c r="H40" s="157"/>
      <c r="I40" s="157"/>
      <c r="J40" s="157"/>
      <c r="K40" s="157"/>
      <c r="L40" s="157"/>
    </row>
    <row r="41" spans="1:12" ht="14.25" x14ac:dyDescent="0.2">
      <c r="A41" s="171"/>
      <c r="B41" s="171"/>
      <c r="C41" s="194"/>
      <c r="D41" s="171"/>
      <c r="F41" s="157"/>
      <c r="G41" s="157"/>
      <c r="H41" s="157"/>
      <c r="I41" s="157"/>
      <c r="J41" s="157"/>
      <c r="K41" s="157"/>
      <c r="L41" s="157"/>
    </row>
    <row r="42" spans="1:12" ht="14.25" x14ac:dyDescent="0.2">
      <c r="A42" s="171"/>
      <c r="B42" s="171"/>
      <c r="C42" s="194"/>
      <c r="D42" s="171"/>
      <c r="F42" s="157"/>
      <c r="G42" s="157"/>
      <c r="H42" s="157"/>
      <c r="I42" s="157"/>
      <c r="J42" s="157"/>
      <c r="K42" s="157"/>
      <c r="L42" s="157"/>
    </row>
    <row r="43" spans="1:12" ht="14.25" x14ac:dyDescent="0.2">
      <c r="A43" s="171"/>
      <c r="B43" s="171"/>
      <c r="C43" s="194"/>
      <c r="D43" s="171"/>
      <c r="F43" s="157"/>
      <c r="G43" s="157"/>
      <c r="H43" s="157"/>
      <c r="I43" s="157"/>
      <c r="J43" s="157"/>
      <c r="K43" s="157"/>
      <c r="L43" s="157"/>
    </row>
    <row r="44" spans="1:12" ht="15" x14ac:dyDescent="0.2">
      <c r="A44" s="171"/>
      <c r="B44" s="195"/>
      <c r="C44" s="196"/>
      <c r="D44" s="171"/>
      <c r="F44" s="157"/>
      <c r="G44" s="157"/>
      <c r="H44" s="157"/>
      <c r="I44" s="157"/>
      <c r="J44" s="157"/>
      <c r="K44" s="157"/>
      <c r="L44" s="157"/>
    </row>
    <row r="45" spans="1:12" ht="15" x14ac:dyDescent="0.2">
      <c r="A45" s="185"/>
      <c r="B45" s="195"/>
      <c r="C45" s="196"/>
      <c r="D45" s="185"/>
      <c r="E45" s="157"/>
      <c r="F45" s="157"/>
      <c r="G45" s="157"/>
      <c r="H45" s="157"/>
      <c r="I45" s="157"/>
      <c r="J45" s="157"/>
      <c r="K45" s="157"/>
      <c r="L45" s="157"/>
    </row>
    <row r="46" spans="1:12" ht="16.5" x14ac:dyDescent="0.2">
      <c r="A46" s="197"/>
      <c r="B46" s="157"/>
      <c r="C46" s="157"/>
      <c r="E46" s="157"/>
      <c r="F46" s="157"/>
      <c r="G46" s="157"/>
      <c r="H46" s="157"/>
      <c r="I46" s="157"/>
      <c r="J46" s="157"/>
      <c r="K46" s="157"/>
      <c r="L46" s="157"/>
    </row>
    <row r="47" spans="1:12" x14ac:dyDescent="0.2">
      <c r="A47" s="198"/>
      <c r="B47" s="199"/>
      <c r="C47" s="199"/>
      <c r="E47" s="157"/>
      <c r="F47" s="157"/>
      <c r="G47" s="157"/>
      <c r="H47" s="157"/>
      <c r="I47" s="157"/>
      <c r="J47" s="157"/>
      <c r="K47" s="157"/>
      <c r="L47" s="157"/>
    </row>
    <row r="48" spans="1:12" ht="14.25" x14ac:dyDescent="0.2">
      <c r="A48" s="171"/>
      <c r="B48" s="200"/>
      <c r="C48" s="199"/>
      <c r="E48" s="157"/>
      <c r="F48" s="157"/>
      <c r="G48" s="157"/>
      <c r="H48" s="157"/>
      <c r="I48" s="157"/>
      <c r="J48" s="157"/>
      <c r="K48" s="157"/>
      <c r="L48" s="157"/>
    </row>
    <row r="49" spans="1:12" ht="14.25" x14ac:dyDescent="0.2">
      <c r="A49" s="171"/>
      <c r="B49" s="200"/>
      <c r="C49" s="171"/>
      <c r="E49" s="157"/>
      <c r="F49" s="157"/>
      <c r="G49" s="157"/>
      <c r="H49" s="157"/>
      <c r="I49" s="157"/>
      <c r="J49" s="157"/>
      <c r="K49" s="157"/>
      <c r="L49" s="157"/>
    </row>
    <row r="50" spans="1:12" ht="14.25" x14ac:dyDescent="0.2">
      <c r="A50" s="171"/>
      <c r="B50" s="194"/>
      <c r="C50" s="199"/>
      <c r="E50" s="157"/>
      <c r="F50" s="157"/>
      <c r="G50" s="157"/>
      <c r="H50" s="157"/>
      <c r="I50" s="157"/>
      <c r="J50" s="157"/>
      <c r="K50" s="157"/>
      <c r="L50" s="157"/>
    </row>
    <row r="51" spans="1:12" ht="14.25" x14ac:dyDescent="0.2">
      <c r="A51" s="171"/>
      <c r="B51" s="200"/>
      <c r="C51" s="171"/>
      <c r="E51" s="157"/>
      <c r="F51" s="157"/>
      <c r="G51" s="157"/>
      <c r="H51" s="157"/>
      <c r="I51" s="157"/>
      <c r="J51" s="157"/>
      <c r="K51" s="157"/>
      <c r="L51" s="157"/>
    </row>
    <row r="52" spans="1:12" ht="14.25" x14ac:dyDescent="0.2">
      <c r="A52" s="171"/>
      <c r="B52" s="194"/>
      <c r="C52" s="199"/>
      <c r="E52" s="157"/>
      <c r="F52" s="157"/>
      <c r="G52" s="157"/>
      <c r="H52" s="157"/>
      <c r="I52" s="157"/>
      <c r="J52" s="157"/>
      <c r="K52" s="157"/>
      <c r="L52" s="157"/>
    </row>
    <row r="53" spans="1:12" ht="14.25" x14ac:dyDescent="0.2">
      <c r="A53" s="171"/>
      <c r="B53" s="200"/>
      <c r="C53" s="171"/>
      <c r="E53" s="157"/>
      <c r="F53" s="157"/>
      <c r="G53" s="157"/>
      <c r="H53" s="157"/>
      <c r="I53" s="157"/>
      <c r="J53" s="157"/>
      <c r="K53" s="157"/>
      <c r="L53" s="157"/>
    </row>
    <row r="54" spans="1:12" ht="14.25" x14ac:dyDescent="0.2">
      <c r="A54" s="171"/>
      <c r="B54" s="194"/>
      <c r="C54" s="199"/>
      <c r="E54" s="157"/>
      <c r="F54" s="157"/>
      <c r="G54" s="157"/>
      <c r="H54" s="157"/>
      <c r="I54" s="157"/>
      <c r="J54" s="157"/>
      <c r="K54" s="157"/>
      <c r="L54" s="157"/>
    </row>
    <row r="55" spans="1:12" ht="14.25" x14ac:dyDescent="0.2">
      <c r="A55" s="171"/>
      <c r="B55" s="200"/>
      <c r="C55" s="171"/>
      <c r="E55" s="157"/>
      <c r="F55" s="157"/>
      <c r="G55" s="157"/>
      <c r="H55" s="157"/>
      <c r="I55" s="157"/>
      <c r="J55" s="157"/>
      <c r="K55" s="157"/>
      <c r="L55" s="157"/>
    </row>
    <row r="56" spans="1:12" ht="14.25" x14ac:dyDescent="0.2">
      <c r="A56" s="171"/>
      <c r="B56" s="194"/>
      <c r="C56" s="199"/>
      <c r="E56" s="157"/>
      <c r="F56" s="157"/>
      <c r="G56" s="157"/>
      <c r="H56" s="157"/>
      <c r="I56" s="157"/>
      <c r="J56" s="157"/>
      <c r="K56" s="157"/>
      <c r="L56" s="157"/>
    </row>
    <row r="57" spans="1:12" ht="16.5" x14ac:dyDescent="0.2">
      <c r="A57" s="197"/>
      <c r="B57" s="157"/>
      <c r="C57" s="157"/>
      <c r="E57" s="157"/>
      <c r="F57" s="157"/>
      <c r="G57" s="157"/>
      <c r="H57" s="157"/>
      <c r="I57" s="157"/>
      <c r="J57" s="157"/>
      <c r="K57" s="157"/>
      <c r="L57" s="157"/>
    </row>
    <row r="58" spans="1:12" x14ac:dyDescent="0.2">
      <c r="A58" s="157"/>
      <c r="B58" s="157"/>
      <c r="C58" s="157"/>
      <c r="E58" s="157"/>
      <c r="F58" s="157"/>
      <c r="G58" s="157"/>
      <c r="H58" s="157"/>
      <c r="I58" s="157"/>
      <c r="J58" s="157"/>
      <c r="K58" s="157"/>
      <c r="L58" s="157"/>
    </row>
    <row r="59" spans="1:12" x14ac:dyDescent="0.2">
      <c r="A59" s="157"/>
      <c r="B59" s="157"/>
      <c r="C59" s="157"/>
      <c r="E59" s="157"/>
      <c r="F59" s="157"/>
      <c r="G59" s="157"/>
      <c r="H59" s="157"/>
      <c r="I59" s="157"/>
      <c r="J59" s="157"/>
      <c r="K59" s="157"/>
      <c r="L59" s="157"/>
    </row>
    <row r="60" spans="1:12" x14ac:dyDescent="0.2">
      <c r="A60" s="201"/>
      <c r="B60" s="157"/>
      <c r="C60" s="157"/>
      <c r="E60" s="157"/>
      <c r="F60" s="157"/>
      <c r="G60" s="157"/>
      <c r="H60" s="157"/>
      <c r="I60" s="157"/>
      <c r="J60" s="157"/>
      <c r="K60" s="157"/>
      <c r="L60" s="157"/>
    </row>
    <row r="61" spans="1:12" x14ac:dyDescent="0.2">
      <c r="A61" s="157"/>
      <c r="B61" s="157"/>
      <c r="C61" s="157"/>
      <c r="E61" s="157"/>
    </row>
    <row r="62" spans="1:12" x14ac:dyDescent="0.2">
      <c r="A62" s="157"/>
      <c r="B62" s="157"/>
      <c r="C62" s="157"/>
      <c r="E62" s="157"/>
    </row>
    <row r="63" spans="1:12" x14ac:dyDescent="0.2">
      <c r="A63" s="157"/>
      <c r="B63" s="157"/>
      <c r="C63" s="157"/>
      <c r="E63" s="157"/>
    </row>
    <row r="64" spans="1:12" x14ac:dyDescent="0.2">
      <c r="A64" s="157"/>
      <c r="B64" s="157"/>
      <c r="C64" s="157"/>
      <c r="E64" s="157"/>
    </row>
    <row r="65" spans="1:5" x14ac:dyDescent="0.2">
      <c r="A65" s="157"/>
      <c r="B65" s="157"/>
      <c r="C65" s="157"/>
      <c r="E65" s="157"/>
    </row>
    <row r="66" spans="1:5" x14ac:dyDescent="0.2">
      <c r="A66" s="157"/>
      <c r="B66" s="157"/>
      <c r="C66" s="157"/>
      <c r="E66" s="157"/>
    </row>
    <row r="67" spans="1:5" x14ac:dyDescent="0.2">
      <c r="A67" s="157"/>
      <c r="B67" s="157"/>
      <c r="C67" s="157"/>
      <c r="E67" s="157"/>
    </row>
    <row r="68" spans="1:5" x14ac:dyDescent="0.2">
      <c r="A68" s="157"/>
      <c r="B68" s="157"/>
      <c r="C68" s="157"/>
      <c r="E68" s="157"/>
    </row>
    <row r="69" spans="1:5" x14ac:dyDescent="0.2">
      <c r="A69" s="157"/>
      <c r="B69" s="157"/>
      <c r="C69" s="157"/>
      <c r="E69" s="157"/>
    </row>
  </sheetData>
  <mergeCells count="1">
    <mergeCell ref="A8:C8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6" workbookViewId="0">
      <selection activeCell="A27" sqref="A27"/>
    </sheetView>
  </sheetViews>
  <sheetFormatPr defaultColWidth="9.140625"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7" t="s">
        <v>224</v>
      </c>
    </row>
    <row r="3" spans="1:3" x14ac:dyDescent="0.2">
      <c r="A3" s="1" t="s">
        <v>196</v>
      </c>
    </row>
    <row r="4" spans="1:3" x14ac:dyDescent="0.2">
      <c r="A4" s="273" t="s">
        <v>192</v>
      </c>
    </row>
    <row r="5" spans="1:3" ht="25.5" customHeight="1" x14ac:dyDescent="0.2">
      <c r="A5" s="407" t="s">
        <v>238</v>
      </c>
      <c r="B5" s="406"/>
      <c r="C5" s="406"/>
    </row>
    <row r="6" spans="1:3" x14ac:dyDescent="0.2">
      <c r="A6" s="1" t="s">
        <v>193</v>
      </c>
    </row>
    <row r="7" spans="1:3" ht="26.25" customHeight="1" x14ac:dyDescent="0.2">
      <c r="A7" s="406" t="s">
        <v>194</v>
      </c>
      <c r="B7" s="406"/>
      <c r="C7" s="406"/>
    </row>
    <row r="8" spans="1:3" x14ac:dyDescent="0.2">
      <c r="A8" s="1" t="s">
        <v>195</v>
      </c>
    </row>
    <row r="9" spans="1:3" x14ac:dyDescent="0.2">
      <c r="A9" s="283" t="s">
        <v>225</v>
      </c>
    </row>
    <row r="10" spans="1:3" ht="13.5" thickBot="1" x14ac:dyDescent="0.25"/>
    <row r="11" spans="1:3" ht="18" x14ac:dyDescent="0.25">
      <c r="B11" s="404" t="s">
        <v>216</v>
      </c>
      <c r="C11" s="405"/>
    </row>
    <row r="12" spans="1:3" ht="15" x14ac:dyDescent="0.25">
      <c r="A12" s="157"/>
      <c r="B12" s="156" t="s">
        <v>191</v>
      </c>
      <c r="C12" s="202"/>
    </row>
    <row r="13" spans="1:3" ht="15" x14ac:dyDescent="0.25">
      <c r="A13" s="157"/>
      <c r="B13" s="158" t="s">
        <v>112</v>
      </c>
      <c r="C13" s="159">
        <v>1932</v>
      </c>
    </row>
    <row r="14" spans="1:3" ht="15" x14ac:dyDescent="0.25">
      <c r="A14" s="157"/>
      <c r="B14" s="160" t="s">
        <v>113</v>
      </c>
      <c r="C14" s="159">
        <v>2197</v>
      </c>
    </row>
    <row r="15" spans="1:3" ht="14.25" x14ac:dyDescent="0.2">
      <c r="A15" s="157"/>
      <c r="B15" s="203" t="s">
        <v>114</v>
      </c>
      <c r="C15" s="204">
        <v>25</v>
      </c>
    </row>
    <row r="16" spans="1:3" ht="14.25" x14ac:dyDescent="0.2">
      <c r="A16" s="157"/>
      <c r="B16" s="203" t="s">
        <v>115</v>
      </c>
      <c r="C16" s="204">
        <v>1463</v>
      </c>
    </row>
    <row r="17" spans="1:5" ht="14.25" x14ac:dyDescent="0.2">
      <c r="A17" s="157"/>
      <c r="B17" s="203" t="s">
        <v>116</v>
      </c>
      <c r="C17" s="204">
        <v>321</v>
      </c>
    </row>
    <row r="18" spans="1:5" ht="14.25" x14ac:dyDescent="0.2">
      <c r="A18" s="157"/>
      <c r="B18" s="203" t="s">
        <v>117</v>
      </c>
      <c r="C18" s="204">
        <v>12</v>
      </c>
    </row>
    <row r="19" spans="1:5" ht="14.25" x14ac:dyDescent="0.2">
      <c r="A19" s="157"/>
      <c r="B19" s="203" t="s">
        <v>118</v>
      </c>
      <c r="C19" s="204">
        <v>339</v>
      </c>
    </row>
    <row r="20" spans="1:5" ht="14.25" x14ac:dyDescent="0.2">
      <c r="A20" s="157"/>
      <c r="B20" s="203" t="s">
        <v>119</v>
      </c>
      <c r="C20" s="204">
        <v>0</v>
      </c>
    </row>
    <row r="21" spans="1:5" ht="14.25" x14ac:dyDescent="0.2">
      <c r="A21" s="157"/>
      <c r="B21" s="203" t="s">
        <v>120</v>
      </c>
      <c r="C21" s="204">
        <v>22</v>
      </c>
    </row>
    <row r="22" spans="1:5" ht="14.25" x14ac:dyDescent="0.2">
      <c r="A22" s="157"/>
      <c r="B22" s="205" t="s">
        <v>121</v>
      </c>
      <c r="C22" s="206">
        <v>0</v>
      </c>
    </row>
    <row r="23" spans="1:5" ht="14.25" x14ac:dyDescent="0.2">
      <c r="A23" s="157"/>
      <c r="B23" s="289" t="s">
        <v>259</v>
      </c>
      <c r="C23" s="206">
        <v>0</v>
      </c>
    </row>
    <row r="24" spans="1:5" ht="15" x14ac:dyDescent="0.25">
      <c r="A24" s="157" t="s">
        <v>122</v>
      </c>
      <c r="B24" s="156" t="s">
        <v>123</v>
      </c>
      <c r="C24" s="202"/>
    </row>
    <row r="25" spans="1:5" ht="14.25" x14ac:dyDescent="0.2">
      <c r="A25" s="157"/>
      <c r="B25" s="207" t="s">
        <v>260</v>
      </c>
      <c r="C25" s="208">
        <v>5183</v>
      </c>
    </row>
    <row r="26" spans="1:5" ht="14.25" x14ac:dyDescent="0.2">
      <c r="A26" s="157"/>
      <c r="B26" s="203" t="s">
        <v>261</v>
      </c>
      <c r="C26" s="204">
        <v>4918</v>
      </c>
    </row>
    <row r="27" spans="1:5" ht="14.25" x14ac:dyDescent="0.2">
      <c r="B27" s="203" t="s">
        <v>262</v>
      </c>
      <c r="C27" s="282">
        <f>C13-C14</f>
        <v>-265</v>
      </c>
    </row>
    <row r="28" spans="1:5" ht="14.25" x14ac:dyDescent="0.2">
      <c r="B28" s="209"/>
      <c r="C28" s="210"/>
    </row>
    <row r="29" spans="1:5" s="107" customFormat="1" ht="15" x14ac:dyDescent="0.25">
      <c r="B29" s="158" t="s">
        <v>125</v>
      </c>
      <c r="C29" s="211">
        <f>MEDIAN(C25,C26)</f>
        <v>5050.5</v>
      </c>
    </row>
    <row r="30" spans="1:5" ht="15" x14ac:dyDescent="0.25">
      <c r="B30" s="160" t="s">
        <v>257</v>
      </c>
      <c r="C30" s="287">
        <f>C16/C29</f>
        <v>0.28967428967428965</v>
      </c>
    </row>
    <row r="31" spans="1:5" ht="15" x14ac:dyDescent="0.25">
      <c r="B31" s="160" t="s">
        <v>258</v>
      </c>
      <c r="C31" s="287">
        <f>MEDIAN(C13,C14)/C29</f>
        <v>0.40877140877140877</v>
      </c>
      <c r="E31" s="273"/>
    </row>
    <row r="32" spans="1:5" s="107" customFormat="1" ht="15" x14ac:dyDescent="0.25">
      <c r="B32" s="160" t="s">
        <v>231</v>
      </c>
      <c r="C32" s="285">
        <f>12/C31</f>
        <v>29.356260595785905</v>
      </c>
    </row>
    <row r="33" spans="2:3" ht="15" x14ac:dyDescent="0.25">
      <c r="B33" s="160" t="s">
        <v>124</v>
      </c>
      <c r="C33" s="162">
        <v>360</v>
      </c>
    </row>
    <row r="34" spans="2:3" ht="15" x14ac:dyDescent="0.25">
      <c r="B34" s="160" t="s">
        <v>226</v>
      </c>
      <c r="C34" s="162">
        <v>10</v>
      </c>
    </row>
    <row r="35" spans="2:3" ht="15" x14ac:dyDescent="0.25">
      <c r="B35" s="158" t="s">
        <v>227</v>
      </c>
      <c r="C35" s="161">
        <v>30</v>
      </c>
    </row>
    <row r="36" spans="2:3" ht="15" x14ac:dyDescent="0.25">
      <c r="B36" s="158" t="s">
        <v>228</v>
      </c>
      <c r="C36" s="161">
        <v>30</v>
      </c>
    </row>
    <row r="37" spans="2:3" s="107" customFormat="1" ht="15" x14ac:dyDescent="0.25">
      <c r="B37" s="158" t="s">
        <v>127</v>
      </c>
      <c r="C37" s="161">
        <f>30+(3*TRUNC(1/C31))</f>
        <v>36</v>
      </c>
    </row>
    <row r="38" spans="2:3" s="107" customFormat="1" ht="15" x14ac:dyDescent="0.25">
      <c r="B38" s="160" t="s">
        <v>39</v>
      </c>
      <c r="C38" s="286">
        <v>0.08</v>
      </c>
    </row>
    <row r="39" spans="2:3" s="107" customFormat="1" ht="15.75" thickBot="1" x14ac:dyDescent="0.3">
      <c r="B39" s="163" t="s">
        <v>126</v>
      </c>
      <c r="C39" s="288">
        <v>0.4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workbookViewId="0">
      <selection activeCell="E17" sqref="E17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21" bestFit="1" customWidth="1"/>
    <col min="6" max="6" width="9.7109375" bestFit="1" customWidth="1"/>
  </cols>
  <sheetData>
    <row r="1" spans="1:8" s="146" customFormat="1" ht="14.25" x14ac:dyDescent="0.2">
      <c r="A1" s="10" t="s">
        <v>189</v>
      </c>
      <c r="B1" s="144"/>
      <c r="C1" s="144"/>
      <c r="E1" s="147"/>
    </row>
    <row r="2" spans="1:8" s="146" customFormat="1" ht="14.25" x14ac:dyDescent="0.2">
      <c r="A2" s="139" t="s">
        <v>232</v>
      </c>
      <c r="B2" s="144"/>
      <c r="C2" s="144"/>
      <c r="E2" s="147"/>
    </row>
    <row r="3" spans="1:8" s="146" customFormat="1" ht="14.25" x14ac:dyDescent="0.2">
      <c r="A3" s="8" t="s">
        <v>190</v>
      </c>
      <c r="B3" s="144"/>
      <c r="C3" s="144"/>
      <c r="E3" s="147"/>
    </row>
    <row r="4" spans="1:8" s="146" customFormat="1" ht="14.25" x14ac:dyDescent="0.2">
      <c r="A4" s="8"/>
      <c r="B4" s="144"/>
      <c r="C4" s="144"/>
      <c r="E4" s="147"/>
    </row>
    <row r="5" spans="1:8" s="3" customFormat="1" ht="15.6" hidden="1" customHeight="1" x14ac:dyDescent="0.2">
      <c r="A5" s="281" t="s">
        <v>256</v>
      </c>
      <c r="B5" s="138"/>
      <c r="C5" s="138"/>
      <c r="D5" s="138"/>
      <c r="E5" s="138"/>
      <c r="F5" s="138"/>
      <c r="G5" s="5"/>
    </row>
    <row r="6" spans="1:8" s="3" customFormat="1" ht="16.5" customHeight="1" x14ac:dyDescent="0.2">
      <c r="A6" s="319" t="s">
        <v>263</v>
      </c>
      <c r="B6" s="4"/>
      <c r="C6" s="4"/>
      <c r="D6" s="5"/>
      <c r="E6" s="5"/>
      <c r="F6" s="5"/>
      <c r="G6" s="5"/>
    </row>
    <row r="7" spans="1:8" s="3" customFormat="1" ht="16.5" customHeight="1" x14ac:dyDescent="0.2">
      <c r="A7" s="319" t="s">
        <v>264</v>
      </c>
      <c r="B7" s="4"/>
      <c r="C7" s="4"/>
      <c r="D7" s="5"/>
      <c r="E7" s="5"/>
      <c r="F7" s="5"/>
      <c r="G7" s="5"/>
    </row>
    <row r="8" spans="1:8" s="146" customFormat="1" ht="15" thickBot="1" x14ac:dyDescent="0.25">
      <c r="B8" s="144"/>
      <c r="C8" s="144"/>
      <c r="E8" s="147"/>
    </row>
    <row r="9" spans="1:8" ht="15.75" x14ac:dyDescent="0.2">
      <c r="A9" s="413" t="s">
        <v>308</v>
      </c>
      <c r="B9" s="414"/>
      <c r="C9" s="414"/>
      <c r="D9" s="414"/>
      <c r="E9" s="414"/>
      <c r="F9" s="415"/>
    </row>
    <row r="10" spans="1:8" ht="16.5" thickBot="1" x14ac:dyDescent="0.25">
      <c r="A10" s="258"/>
      <c r="B10" s="259"/>
      <c r="C10" s="259"/>
      <c r="D10" s="259"/>
      <c r="E10" s="259"/>
      <c r="F10" s="260"/>
    </row>
    <row r="11" spans="1:8" ht="15" x14ac:dyDescent="0.25">
      <c r="A11" s="212"/>
      <c r="B11" s="145"/>
      <c r="C11" s="145"/>
      <c r="D11" s="410" t="s">
        <v>229</v>
      </c>
      <c r="E11" s="411"/>
      <c r="F11" s="412"/>
      <c r="G11" s="146"/>
      <c r="H11" s="146"/>
    </row>
    <row r="12" spans="1:8" ht="15" thickBot="1" x14ac:dyDescent="0.25">
      <c r="A12" s="209"/>
      <c r="B12" s="213"/>
      <c r="C12" s="213"/>
      <c r="D12" s="214" t="s">
        <v>177</v>
      </c>
      <c r="E12" s="215" t="s">
        <v>178</v>
      </c>
      <c r="F12" s="216" t="s">
        <v>179</v>
      </c>
      <c r="G12" s="146"/>
      <c r="H12" s="146"/>
    </row>
    <row r="13" spans="1:8" ht="14.25" x14ac:dyDescent="0.2">
      <c r="A13" s="217" t="s">
        <v>71</v>
      </c>
      <c r="B13" s="218" t="s">
        <v>72</v>
      </c>
      <c r="C13" s="219">
        <v>0.05</v>
      </c>
      <c r="D13" s="240">
        <v>2.9700000000000001E-2</v>
      </c>
      <c r="E13" s="241">
        <v>5.0799999999999998E-2</v>
      </c>
      <c r="F13" s="242">
        <v>6.2700000000000006E-2</v>
      </c>
      <c r="G13" s="146"/>
      <c r="H13" s="146"/>
    </row>
    <row r="14" spans="1:8" ht="14.25" x14ac:dyDescent="0.2">
      <c r="A14" s="221" t="s">
        <v>73</v>
      </c>
      <c r="B14" s="222" t="s">
        <v>74</v>
      </c>
      <c r="C14" s="223">
        <v>8.6E-3</v>
      </c>
      <c r="D14" s="240">
        <f>0.3%+0.56%</f>
        <v>8.6E-3</v>
      </c>
      <c r="E14" s="241">
        <f>0.48%+0.85%</f>
        <v>1.3299999999999999E-2</v>
      </c>
      <c r="F14" s="242">
        <f>0.82%+0.89%</f>
        <v>1.7099999999999997E-2</v>
      </c>
      <c r="G14" s="146"/>
      <c r="H14" s="146"/>
    </row>
    <row r="15" spans="1:8" ht="14.25" x14ac:dyDescent="0.2">
      <c r="A15" s="221" t="s">
        <v>75</v>
      </c>
      <c r="B15" s="222" t="s">
        <v>76</v>
      </c>
      <c r="C15" s="223">
        <v>0.1</v>
      </c>
      <c r="D15" s="240">
        <v>7.7799999999999994E-2</v>
      </c>
      <c r="E15" s="241">
        <v>0.1085</v>
      </c>
      <c r="F15" s="242">
        <v>0.13550000000000001</v>
      </c>
      <c r="G15" s="146"/>
      <c r="H15" s="146"/>
    </row>
    <row r="16" spans="1:8" ht="14.25" x14ac:dyDescent="0.2">
      <c r="A16" s="221" t="s">
        <v>77</v>
      </c>
      <c r="B16" s="222" t="s">
        <v>78</v>
      </c>
      <c r="C16" s="224">
        <f>(1+E16)^(E17/252)-1</f>
        <v>2.032550398298083E-3</v>
      </c>
      <c r="D16" s="240" t="s">
        <v>245</v>
      </c>
      <c r="E16" s="225">
        <v>5.2499999999999998E-2</v>
      </c>
      <c r="F16" s="220"/>
      <c r="G16" s="146"/>
      <c r="H16" s="146"/>
    </row>
    <row r="17" spans="1:8" ht="14.25" x14ac:dyDescent="0.2">
      <c r="A17" s="221" t="s">
        <v>79</v>
      </c>
      <c r="B17" s="408" t="s">
        <v>80</v>
      </c>
      <c r="C17" s="223">
        <v>0.03</v>
      </c>
      <c r="D17" s="278" t="s">
        <v>180</v>
      </c>
      <c r="E17" s="226">
        <v>10</v>
      </c>
      <c r="F17" s="227"/>
      <c r="G17" s="146"/>
      <c r="H17" s="146"/>
    </row>
    <row r="18" spans="1:8" ht="15" thickBot="1" x14ac:dyDescent="0.25">
      <c r="A18" s="228" t="s">
        <v>290</v>
      </c>
      <c r="B18" s="409"/>
      <c r="C18" s="229">
        <v>3.6499999999999998E-2</v>
      </c>
      <c r="D18" s="203"/>
      <c r="E18" s="230"/>
      <c r="F18" s="227"/>
      <c r="G18" s="146"/>
      <c r="H18" s="146"/>
    </row>
    <row r="19" spans="1:8" ht="14.25" x14ac:dyDescent="0.2">
      <c r="A19" s="231" t="s">
        <v>81</v>
      </c>
      <c r="B19" s="232"/>
      <c r="C19" s="233"/>
      <c r="D19" s="203"/>
      <c r="E19" s="230"/>
      <c r="F19" s="227"/>
      <c r="G19" s="146"/>
      <c r="H19" s="146"/>
    </row>
    <row r="20" spans="1:8" ht="15" thickBot="1" x14ac:dyDescent="0.25">
      <c r="A20" s="234" t="s">
        <v>82</v>
      </c>
      <c r="B20" s="235"/>
      <c r="C20" s="236"/>
      <c r="D20" s="203"/>
      <c r="E20" s="230"/>
      <c r="F20" s="227"/>
      <c r="G20" s="146"/>
      <c r="H20" s="146"/>
    </row>
    <row r="21" spans="1:8" ht="15.75" thickBot="1" x14ac:dyDescent="0.25">
      <c r="A21" s="237" t="s">
        <v>83</v>
      </c>
      <c r="B21" s="238"/>
      <c r="C21" s="239">
        <f>ROUND((((1+C13+C14)*(1+C15)*(1+C16))/(1-(C17+C18))-1),4)</f>
        <v>0.24990000000000001</v>
      </c>
      <c r="D21" s="243">
        <v>0.21429999999999999</v>
      </c>
      <c r="E21" s="244">
        <v>0.2717</v>
      </c>
      <c r="F21" s="245">
        <v>0.3362</v>
      </c>
      <c r="G21" s="146"/>
      <c r="H21" s="146"/>
    </row>
    <row r="22" spans="1:8" ht="14.25" x14ac:dyDescent="0.2">
      <c r="A22" s="146"/>
      <c r="B22" s="146"/>
      <c r="C22" s="146"/>
      <c r="D22" s="146"/>
      <c r="E22" s="147"/>
      <c r="F22" s="146"/>
      <c r="G22" s="146"/>
      <c r="H22" s="146"/>
    </row>
    <row r="23" spans="1:8" ht="14.25" x14ac:dyDescent="0.2">
      <c r="A23" s="146"/>
      <c r="B23" s="146"/>
      <c r="C23" s="146"/>
      <c r="D23" s="146"/>
      <c r="E23" s="147"/>
      <c r="F23" s="146"/>
      <c r="G23" s="146"/>
      <c r="H23" s="146"/>
    </row>
    <row r="24" spans="1:8" ht="14.25" x14ac:dyDescent="0.2">
      <c r="A24" s="146"/>
      <c r="B24" s="146"/>
      <c r="C24" s="146"/>
      <c r="D24" s="146"/>
      <c r="E24" s="147"/>
      <c r="F24" s="146"/>
      <c r="G24" s="146"/>
      <c r="H24" s="146"/>
    </row>
    <row r="25" spans="1:8" ht="14.25" x14ac:dyDescent="0.2">
      <c r="A25" s="146"/>
      <c r="B25" s="146"/>
      <c r="C25" s="146"/>
      <c r="D25" s="146"/>
      <c r="E25" s="147"/>
      <c r="F25" s="146"/>
      <c r="G25" s="146"/>
      <c r="H25" s="146"/>
    </row>
  </sheetData>
  <mergeCells count="3">
    <mergeCell ref="B17:B18"/>
    <mergeCell ref="D11:F11"/>
    <mergeCell ref="A9:F9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27" sqref="A27"/>
    </sheetView>
  </sheetViews>
  <sheetFormatPr defaultColWidth="9.140625"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416" t="s">
        <v>318</v>
      </c>
      <c r="B1" s="417"/>
    </row>
    <row r="2" spans="1:2" s="107" customFormat="1" ht="19.5" customHeight="1" x14ac:dyDescent="0.2">
      <c r="A2" s="261" t="s">
        <v>197</v>
      </c>
      <c r="B2" s="262" t="s">
        <v>247</v>
      </c>
    </row>
    <row r="3" spans="1:2" ht="19.5" customHeight="1" x14ac:dyDescent="0.2">
      <c r="A3" s="165">
        <v>1</v>
      </c>
      <c r="B3" s="164">
        <v>33.629999999999995</v>
      </c>
    </row>
    <row r="4" spans="1:2" ht="19.5" customHeight="1" x14ac:dyDescent="0.2">
      <c r="A4" s="165">
        <v>2</v>
      </c>
      <c r="B4" s="164">
        <v>43.13</v>
      </c>
    </row>
    <row r="5" spans="1:2" ht="19.5" customHeight="1" x14ac:dyDescent="0.2">
      <c r="A5" s="165">
        <v>3</v>
      </c>
      <c r="B5" s="164">
        <v>48.68</v>
      </c>
    </row>
    <row r="6" spans="1:2" ht="19.5" customHeight="1" x14ac:dyDescent="0.2">
      <c r="A6" s="165">
        <v>4</v>
      </c>
      <c r="B6" s="164">
        <v>52.62</v>
      </c>
    </row>
    <row r="7" spans="1:2" ht="19.5" customHeight="1" x14ac:dyDescent="0.2">
      <c r="A7" s="165">
        <v>5</v>
      </c>
      <c r="B7" s="164">
        <v>55.679999999999993</v>
      </c>
    </row>
    <row r="8" spans="1:2" ht="19.5" customHeight="1" x14ac:dyDescent="0.2">
      <c r="A8" s="165">
        <v>6</v>
      </c>
      <c r="B8" s="164">
        <v>58.18</v>
      </c>
    </row>
    <row r="9" spans="1:2" ht="19.5" customHeight="1" x14ac:dyDescent="0.2">
      <c r="A9" s="165">
        <v>7</v>
      </c>
      <c r="B9" s="164">
        <v>60.29</v>
      </c>
    </row>
    <row r="10" spans="1:2" ht="19.5" customHeight="1" x14ac:dyDescent="0.2">
      <c r="A10" s="165">
        <v>8</v>
      </c>
      <c r="B10" s="164">
        <v>62.12</v>
      </c>
    </row>
    <row r="11" spans="1:2" ht="19.5" customHeight="1" x14ac:dyDescent="0.2">
      <c r="A11" s="165">
        <v>9</v>
      </c>
      <c r="B11" s="164">
        <v>63.73</v>
      </c>
    </row>
    <row r="12" spans="1:2" ht="19.5" customHeight="1" x14ac:dyDescent="0.2">
      <c r="A12" s="165">
        <v>10</v>
      </c>
      <c r="B12" s="164">
        <v>65.180000000000007</v>
      </c>
    </row>
    <row r="13" spans="1:2" ht="19.5" customHeight="1" x14ac:dyDescent="0.2">
      <c r="A13" s="165">
        <v>11</v>
      </c>
      <c r="B13" s="164">
        <v>66.47999999999999</v>
      </c>
    </row>
    <row r="14" spans="1:2" ht="19.5" customHeight="1" x14ac:dyDescent="0.2">
      <c r="A14" s="165">
        <v>12</v>
      </c>
      <c r="B14" s="164">
        <v>67.67</v>
      </c>
    </row>
    <row r="15" spans="1:2" ht="19.5" customHeight="1" x14ac:dyDescent="0.2">
      <c r="A15" s="165">
        <v>13</v>
      </c>
      <c r="B15" s="164">
        <v>68.77</v>
      </c>
    </row>
    <row r="16" spans="1:2" ht="19.5" customHeight="1" x14ac:dyDescent="0.2">
      <c r="A16" s="165">
        <v>14</v>
      </c>
      <c r="B16" s="164">
        <v>69.789999999999992</v>
      </c>
    </row>
    <row r="17" spans="1:2" ht="19.5" customHeight="1" thickBot="1" x14ac:dyDescent="0.25">
      <c r="A17" s="166">
        <v>15</v>
      </c>
      <c r="B17" s="167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10" sqref="A10:B10"/>
    </sheetView>
  </sheetViews>
  <sheetFormatPr defaultColWidth="8.85546875" defaultRowHeight="15" x14ac:dyDescent="0.25"/>
  <cols>
    <col min="1" max="1" width="11.42578125" style="291" customWidth="1"/>
    <col min="2" max="2" width="21.28515625" style="291" bestFit="1" customWidth="1"/>
    <col min="3" max="3" width="13.28515625" style="291" customWidth="1"/>
    <col min="4" max="4" width="13.7109375" style="291" customWidth="1"/>
    <col min="5" max="5" width="8.85546875" style="291"/>
    <col min="6" max="7" width="11.28515625" style="291" bestFit="1" customWidth="1"/>
    <col min="8" max="16384" width="8.85546875" style="291"/>
  </cols>
  <sheetData>
    <row r="1" spans="1:4" ht="15.75" x14ac:dyDescent="0.25">
      <c r="A1" s="322" t="s">
        <v>358</v>
      </c>
    </row>
    <row r="2" spans="1:4" ht="15.75" x14ac:dyDescent="0.25">
      <c r="A2" s="322" t="s">
        <v>342</v>
      </c>
    </row>
    <row r="3" spans="1:4" ht="15.75" x14ac:dyDescent="0.25">
      <c r="A3" s="322" t="s">
        <v>359</v>
      </c>
    </row>
    <row r="4" spans="1:4" x14ac:dyDescent="0.25">
      <c r="A4" s="290"/>
    </row>
    <row r="5" spans="1:4" x14ac:dyDescent="0.25">
      <c r="A5" s="345" t="s">
        <v>312</v>
      </c>
      <c r="B5" s="346"/>
      <c r="C5" s="346"/>
      <c r="D5" s="347"/>
    </row>
    <row r="6" spans="1:4" x14ac:dyDescent="0.25">
      <c r="A6" s="292" t="s">
        <v>267</v>
      </c>
      <c r="B6" s="292" t="s">
        <v>333</v>
      </c>
      <c r="C6" s="292" t="s">
        <v>310</v>
      </c>
      <c r="D6" s="292" t="s">
        <v>311</v>
      </c>
    </row>
    <row r="7" spans="1:4" x14ac:dyDescent="0.25">
      <c r="A7" s="293">
        <v>1</v>
      </c>
      <c r="B7" s="294" t="s">
        <v>334</v>
      </c>
      <c r="C7" s="325">
        <v>9</v>
      </c>
      <c r="D7" s="326">
        <f>C7*30</f>
        <v>270</v>
      </c>
    </row>
    <row r="8" spans="1:4" x14ac:dyDescent="0.25">
      <c r="A8" s="293">
        <v>2</v>
      </c>
      <c r="B8" s="294" t="s">
        <v>335</v>
      </c>
      <c r="C8" s="325">
        <v>1</v>
      </c>
      <c r="D8" s="326">
        <f>C8*30</f>
        <v>30</v>
      </c>
    </row>
    <row r="9" spans="1:4" ht="9" customHeight="1" x14ac:dyDescent="0.25">
      <c r="A9" s="293"/>
      <c r="B9" s="294"/>
      <c r="C9" s="325"/>
      <c r="D9" s="326"/>
    </row>
    <row r="10" spans="1:4" x14ac:dyDescent="0.25">
      <c r="A10" s="418" t="s">
        <v>336</v>
      </c>
      <c r="B10" s="419"/>
      <c r="C10" s="375"/>
      <c r="D10" s="326">
        <f>SUM(D7:D9)</f>
        <v>300</v>
      </c>
    </row>
    <row r="11" spans="1:4" ht="9" customHeight="1" x14ac:dyDescent="0.25">
      <c r="A11" s="373"/>
      <c r="B11" s="374"/>
      <c r="C11" s="375"/>
      <c r="D11" s="326"/>
    </row>
    <row r="12" spans="1:4" x14ac:dyDescent="0.25">
      <c r="A12" s="418" t="s">
        <v>309</v>
      </c>
      <c r="B12" s="419"/>
      <c r="C12" s="320"/>
      <c r="D12" s="327">
        <f>D10*12</f>
        <v>3600</v>
      </c>
    </row>
    <row r="14" spans="1:4" x14ac:dyDescent="0.25">
      <c r="A14" s="323"/>
      <c r="B14" s="324"/>
      <c r="D14" s="295"/>
    </row>
    <row r="15" spans="1:4" x14ac:dyDescent="0.25">
      <c r="A15" s="323"/>
      <c r="B15" s="324"/>
      <c r="D15" s="295"/>
    </row>
  </sheetData>
  <mergeCells count="2">
    <mergeCell ref="A12:B12"/>
    <mergeCell ref="A10:B10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A4" sqref="A4:F18"/>
    </sheetView>
  </sheetViews>
  <sheetFormatPr defaultColWidth="8.85546875" defaultRowHeight="15" x14ac:dyDescent="0.25"/>
  <cols>
    <col min="1" max="1" width="8.85546875" style="300"/>
    <col min="2" max="2" width="16.7109375" style="300" customWidth="1"/>
    <col min="3" max="3" width="6.28515625" style="300" customWidth="1"/>
    <col min="4" max="5" width="8.85546875" style="300"/>
    <col min="6" max="6" width="13.28515625" style="300" customWidth="1"/>
    <col min="7" max="16384" width="8.85546875" style="300"/>
  </cols>
  <sheetData>
    <row r="1" spans="1:12" ht="15.75" x14ac:dyDescent="0.25">
      <c r="A1" s="322" t="s">
        <v>355</v>
      </c>
    </row>
    <row r="2" spans="1:12" x14ac:dyDescent="0.25">
      <c r="A2" s="299" t="s">
        <v>343</v>
      </c>
    </row>
    <row r="3" spans="1:12" x14ac:dyDescent="0.25">
      <c r="A3" s="299" t="s">
        <v>356</v>
      </c>
    </row>
    <row r="4" spans="1:12" x14ac:dyDescent="0.25">
      <c r="A4" s="301" t="s">
        <v>268</v>
      </c>
      <c r="B4" s="301" t="s">
        <v>269</v>
      </c>
      <c r="C4" s="301" t="s">
        <v>270</v>
      </c>
      <c r="D4" s="301" t="s">
        <v>271</v>
      </c>
      <c r="E4" s="301" t="s">
        <v>272</v>
      </c>
      <c r="F4" s="301" t="s">
        <v>273</v>
      </c>
    </row>
    <row r="5" spans="1:12" x14ac:dyDescent="0.25">
      <c r="A5" s="302">
        <v>1</v>
      </c>
      <c r="B5" s="301" t="s">
        <v>345</v>
      </c>
      <c r="C5" s="301" t="s">
        <v>314</v>
      </c>
      <c r="D5" s="303">
        <v>0.33333333333333331</v>
      </c>
      <c r="E5" s="303">
        <v>0.45833333333333331</v>
      </c>
      <c r="F5" s="303">
        <v>0.125</v>
      </c>
    </row>
    <row r="6" spans="1:12" x14ac:dyDescent="0.25">
      <c r="A6" s="302">
        <v>1</v>
      </c>
      <c r="B6" s="301" t="s">
        <v>313</v>
      </c>
      <c r="C6" s="301" t="s">
        <v>314</v>
      </c>
      <c r="D6" s="303">
        <v>0.33333333333333331</v>
      </c>
      <c r="E6" s="303">
        <v>0.45833333333333331</v>
      </c>
      <c r="F6" s="303">
        <v>0.125</v>
      </c>
    </row>
    <row r="7" spans="1:12" x14ac:dyDescent="0.25">
      <c r="H7" s="311"/>
      <c r="I7" s="311"/>
      <c r="L7" s="311"/>
    </row>
    <row r="8" spans="1:12" x14ac:dyDescent="0.25">
      <c r="A8" s="299" t="s">
        <v>315</v>
      </c>
      <c r="H8" s="362"/>
    </row>
    <row r="9" spans="1:12" x14ac:dyDescent="0.25">
      <c r="A9" s="364" t="s">
        <v>316</v>
      </c>
      <c r="B9" s="305"/>
      <c r="C9" s="305"/>
      <c r="D9" s="305"/>
      <c r="E9" s="305"/>
      <c r="F9" s="315">
        <v>3</v>
      </c>
    </row>
    <row r="10" spans="1:12" x14ac:dyDescent="0.25">
      <c r="A10" s="307" t="s">
        <v>274</v>
      </c>
      <c r="B10" s="305"/>
      <c r="C10" s="305"/>
      <c r="D10" s="305"/>
      <c r="E10" s="305"/>
      <c r="F10" s="306">
        <v>0.25</v>
      </c>
    </row>
    <row r="11" spans="1:12" x14ac:dyDescent="0.25">
      <c r="A11" s="304" t="s">
        <v>275</v>
      </c>
      <c r="B11" s="305"/>
      <c r="C11" s="305"/>
      <c r="D11" s="305"/>
      <c r="E11" s="305"/>
      <c r="F11" s="315">
        <f>F9*F10</f>
        <v>0.75</v>
      </c>
    </row>
    <row r="12" spans="1:12" x14ac:dyDescent="0.25">
      <c r="A12" s="304" t="s">
        <v>276</v>
      </c>
      <c r="B12" s="305"/>
      <c r="C12" s="305"/>
      <c r="D12" s="305"/>
      <c r="E12" s="305"/>
      <c r="F12" s="306">
        <v>6</v>
      </c>
    </row>
    <row r="13" spans="1:12" x14ac:dyDescent="0.25">
      <c r="A13" s="304" t="s">
        <v>277</v>
      </c>
      <c r="B13" s="305"/>
      <c r="C13" s="305"/>
      <c r="D13" s="305"/>
      <c r="E13" s="305"/>
      <c r="F13" s="306">
        <v>7</v>
      </c>
    </row>
    <row r="14" spans="1:12" x14ac:dyDescent="0.25">
      <c r="A14" s="304" t="s">
        <v>278</v>
      </c>
      <c r="B14" s="305"/>
      <c r="C14" s="305"/>
      <c r="D14" s="305"/>
      <c r="E14" s="305"/>
      <c r="F14" s="315">
        <f>F11/F12</f>
        <v>0.125</v>
      </c>
    </row>
    <row r="15" spans="1:12" x14ac:dyDescent="0.25">
      <c r="A15" s="304" t="s">
        <v>279</v>
      </c>
      <c r="B15" s="305"/>
      <c r="C15" s="305"/>
      <c r="D15" s="305"/>
      <c r="E15" s="305"/>
      <c r="F15" s="306">
        <v>30</v>
      </c>
    </row>
    <row r="16" spans="1:12" x14ac:dyDescent="0.25">
      <c r="A16" s="308" t="s">
        <v>280</v>
      </c>
      <c r="B16" s="309"/>
      <c r="C16" s="309"/>
      <c r="D16" s="309"/>
      <c r="E16" s="309"/>
      <c r="F16" s="317">
        <f>F14*F15</f>
        <v>3.75</v>
      </c>
    </row>
    <row r="17" spans="1:6" x14ac:dyDescent="0.25">
      <c r="A17" s="308" t="s">
        <v>281</v>
      </c>
      <c r="B17" s="309"/>
      <c r="C17" s="309"/>
      <c r="D17" s="309"/>
      <c r="E17" s="309"/>
      <c r="F17" s="301">
        <v>220</v>
      </c>
    </row>
    <row r="18" spans="1:6" x14ac:dyDescent="0.25">
      <c r="A18" s="308" t="s">
        <v>282</v>
      </c>
      <c r="B18" s="309"/>
      <c r="C18" s="309"/>
      <c r="D18" s="309"/>
      <c r="E18" s="309"/>
      <c r="F18" s="310">
        <f>F16/F17</f>
        <v>1.7045454545454544E-2</v>
      </c>
    </row>
  </sheetData>
  <pageMargins left="0.51181102362204722" right="0.51181102362204722" top="0.78740157480314965" bottom="0.78740157480314965" header="0.31496062992125984" footer="0.31496062992125984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workbookViewId="0"/>
  </sheetViews>
  <sheetFormatPr defaultColWidth="8.85546875" defaultRowHeight="15" x14ac:dyDescent="0.25"/>
  <cols>
    <col min="1" max="1" width="11.7109375" style="348" customWidth="1"/>
    <col min="2" max="2" width="22.7109375" style="348" bestFit="1" customWidth="1"/>
    <col min="3" max="3" width="14.5703125" style="348" customWidth="1"/>
    <col min="4" max="4" width="13.28515625" style="348" customWidth="1"/>
    <col min="5" max="5" width="5.7109375" style="348" customWidth="1"/>
    <col min="6" max="6" width="2.5703125" style="348" customWidth="1"/>
    <col min="7" max="7" width="5.140625" style="348" customWidth="1"/>
    <col min="8" max="8" width="28" style="348" customWidth="1"/>
    <col min="9" max="9" width="7.28515625" style="348" customWidth="1"/>
    <col min="10" max="10" width="4.7109375" style="348" customWidth="1"/>
    <col min="11" max="11" width="15.140625" style="348" customWidth="1"/>
    <col min="12" max="12" width="6.28515625" style="348" customWidth="1"/>
    <col min="13" max="13" width="9.28515625" style="348" customWidth="1"/>
    <col min="14" max="14" width="12" style="348" customWidth="1"/>
    <col min="15" max="15" width="11.5703125" style="348" customWidth="1"/>
    <col min="16" max="16" width="10.5703125" style="348" customWidth="1"/>
    <col min="17" max="16384" width="8.85546875" style="348"/>
  </cols>
  <sheetData>
    <row r="1" spans="1:17" ht="18" x14ac:dyDescent="0.25">
      <c r="A1" s="321" t="s">
        <v>355</v>
      </c>
    </row>
    <row r="2" spans="1:17" ht="15" customHeight="1" x14ac:dyDescent="0.25">
      <c r="A2" s="361" t="s">
        <v>337</v>
      </c>
      <c r="M2" s="349"/>
      <c r="N2" s="350"/>
      <c r="O2" s="350"/>
      <c r="P2" s="350"/>
      <c r="Q2" s="350"/>
    </row>
    <row r="3" spans="1:17" ht="15" customHeight="1" x14ac:dyDescent="0.25">
      <c r="A3" s="420" t="s">
        <v>338</v>
      </c>
      <c r="B3" s="421"/>
      <c r="C3" s="421"/>
      <c r="D3" s="421"/>
      <c r="E3" s="421"/>
      <c r="F3" s="352"/>
      <c r="G3" s="352"/>
      <c r="M3" s="349"/>
      <c r="N3" s="352"/>
      <c r="O3" s="352"/>
      <c r="P3" s="352"/>
      <c r="Q3" s="352"/>
    </row>
    <row r="4" spans="1:17" ht="15" customHeight="1" x14ac:dyDescent="0.25">
      <c r="A4" s="422" t="s">
        <v>317</v>
      </c>
      <c r="B4" s="421"/>
      <c r="C4" s="421"/>
      <c r="D4" s="421"/>
      <c r="E4" s="421"/>
      <c r="F4" s="352"/>
      <c r="G4" s="352"/>
      <c r="M4" s="353"/>
      <c r="N4" s="354"/>
      <c r="O4" s="352"/>
      <c r="P4" s="355"/>
      <c r="Q4" s="355"/>
    </row>
    <row r="5" spans="1:17" x14ac:dyDescent="0.25">
      <c r="A5" s="356" t="s">
        <v>289</v>
      </c>
      <c r="B5" s="376" t="s">
        <v>294</v>
      </c>
      <c r="C5" s="356" t="s">
        <v>284</v>
      </c>
      <c r="D5" s="356" t="s">
        <v>283</v>
      </c>
      <c r="E5" s="356" t="s">
        <v>244</v>
      </c>
      <c r="F5" s="352"/>
      <c r="G5" s="352"/>
      <c r="M5" s="353"/>
      <c r="N5" s="354"/>
      <c r="O5" s="352"/>
      <c r="P5" s="355"/>
      <c r="Q5" s="355"/>
    </row>
    <row r="6" spans="1:17" s="357" customFormat="1" ht="14.45" customHeight="1" x14ac:dyDescent="0.25">
      <c r="A6" s="356" t="s">
        <v>285</v>
      </c>
      <c r="B6" s="384" t="s">
        <v>362</v>
      </c>
      <c r="C6" s="377" t="s">
        <v>340</v>
      </c>
      <c r="D6" s="359">
        <v>90</v>
      </c>
      <c r="E6" s="382" t="s">
        <v>17</v>
      </c>
      <c r="F6" s="351"/>
      <c r="G6" s="352"/>
      <c r="M6" s="353"/>
      <c r="N6" s="354"/>
      <c r="O6" s="352"/>
      <c r="P6" s="355"/>
      <c r="Q6" s="355"/>
    </row>
    <row r="7" spans="1:17" s="357" customFormat="1" ht="14.45" customHeight="1" x14ac:dyDescent="0.25">
      <c r="A7" s="376" t="s">
        <v>339</v>
      </c>
      <c r="B7" s="384" t="s">
        <v>363</v>
      </c>
      <c r="C7" s="377" t="s">
        <v>341</v>
      </c>
      <c r="D7" s="359">
        <v>90</v>
      </c>
      <c r="E7" s="380" t="s">
        <v>17</v>
      </c>
      <c r="F7" s="351"/>
      <c r="G7" s="352"/>
      <c r="M7" s="353"/>
      <c r="N7" s="354"/>
      <c r="O7" s="352"/>
      <c r="P7" s="355"/>
      <c r="Q7" s="355"/>
    </row>
    <row r="8" spans="1:17" x14ac:dyDescent="0.25">
      <c r="A8" s="356"/>
      <c r="B8" s="356"/>
      <c r="C8" s="358"/>
      <c r="D8" s="359"/>
      <c r="E8" s="381"/>
      <c r="F8" s="351"/>
      <c r="G8" s="351"/>
      <c r="M8" s="353"/>
      <c r="N8" s="354"/>
      <c r="O8" s="352"/>
      <c r="P8" s="355"/>
      <c r="Q8" s="355"/>
    </row>
    <row r="9" spans="1:17" x14ac:dyDescent="0.25">
      <c r="A9" s="423" t="s">
        <v>352</v>
      </c>
      <c r="B9" s="423"/>
      <c r="C9" s="423"/>
      <c r="D9" s="359">
        <f>SUM(D6:D8)</f>
        <v>180</v>
      </c>
      <c r="E9" s="383" t="s">
        <v>17</v>
      </c>
      <c r="F9" s="351"/>
      <c r="G9" s="351"/>
      <c r="M9" s="353"/>
      <c r="N9" s="354"/>
      <c r="O9" s="352"/>
      <c r="P9" s="355"/>
      <c r="Q9" s="355"/>
    </row>
    <row r="10" spans="1:17" ht="15" customHeight="1" x14ac:dyDescent="0.25">
      <c r="A10" s="423" t="s">
        <v>357</v>
      </c>
      <c r="B10" s="423"/>
      <c r="C10" s="423"/>
      <c r="D10" s="360">
        <f>SUM(D6:D8)*1</f>
        <v>180</v>
      </c>
      <c r="E10" s="381" t="s">
        <v>17</v>
      </c>
      <c r="F10" s="351"/>
      <c r="G10" s="351"/>
      <c r="M10" s="352"/>
      <c r="N10" s="350"/>
      <c r="O10" s="350"/>
      <c r="P10" s="350"/>
      <c r="Q10" s="350"/>
    </row>
    <row r="11" spans="1:17" x14ac:dyDescent="0.25">
      <c r="G11" s="351"/>
      <c r="M11" s="353"/>
    </row>
    <row r="13" spans="1:17" ht="15" customHeight="1" x14ac:dyDescent="0.25"/>
  </sheetData>
  <mergeCells count="4">
    <mergeCell ref="A3:E3"/>
    <mergeCell ref="A4:E4"/>
    <mergeCell ref="A10:C10"/>
    <mergeCell ref="A9:C9"/>
  </mergeCells>
  <pageMargins left="0.51181102362204722" right="0.51181102362204722" top="0.78740157480314965" bottom="0.78740157480314965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1. Coleta Resíduos Saúde</vt:lpstr>
      <vt:lpstr>2.Resumo</vt:lpstr>
      <vt:lpstr>3.Encargos Sociais</vt:lpstr>
      <vt:lpstr>4.CAGED</vt:lpstr>
      <vt:lpstr>5.BDI</vt:lpstr>
      <vt:lpstr>6. Depreciação</vt:lpstr>
      <vt:lpstr>Litros</vt:lpstr>
      <vt:lpstr>Horários</vt:lpstr>
      <vt:lpstr>Roteiros</vt:lpstr>
      <vt:lpstr>AbaDeprec</vt:lpstr>
      <vt:lpstr>'1. Coleta Resíduos Saúde'!Area_de_impressao</vt:lpstr>
      <vt:lpstr>'3.Encargos Sociais'!Area_de_impressao</vt:lpstr>
      <vt:lpstr>'1. Coleta Resíduos Saúde'!Titulos_de_impressao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COMPRAS</cp:lastModifiedBy>
  <cp:lastPrinted>2021-08-03T01:39:02Z</cp:lastPrinted>
  <dcterms:created xsi:type="dcterms:W3CDTF">2000-12-13T10:02:50Z</dcterms:created>
  <dcterms:modified xsi:type="dcterms:W3CDTF">2021-08-06T11:16:56Z</dcterms:modified>
</cp:coreProperties>
</file>